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UISMA\Desktop\ESCRITORIO 4-5-2014\ESCRITORIO COMPLETO 8 MARZO 2014\EXCEL FINANCIERO\DEFINITIVOS\"/>
    </mc:Choice>
  </mc:AlternateContent>
  <bookViews>
    <workbookView xWindow="0" yWindow="0" windowWidth="12780" windowHeight="4500" activeTab="3"/>
  </bookViews>
  <sheets>
    <sheet name="FRA. DTO. COMERCIAL" sheetId="4" r:id="rId1"/>
    <sheet name="CONDICIONES BANCARIAS" sheetId="1" r:id="rId2"/>
    <sheet name="TIMBRES" sheetId="7" r:id="rId3"/>
    <sheet name="ASIENTOS CONTABLES" sheetId="8" r:id="rId4"/>
  </sheets>
  <definedNames>
    <definedName name="_xlnm._FilterDatabase" localSheetId="1" hidden="1">'CONDICIONES BANCARIAS'!$B$62:$E$62</definedName>
    <definedName name="COMISIONBANCAJA">'CONDICIONES BANCARIAS'!$D$18:$E$22</definedName>
    <definedName name="COMISIONBBVA">#REF!</definedName>
    <definedName name="COMISIONSANTANDER">#REF!</definedName>
    <definedName name="CORREOBANCAJA">'CONDICIONES BANCARIAS'!$D$117</definedName>
    <definedName name="CORREOBBVA">#REF!</definedName>
    <definedName name="CORREOSANTANDER">'CONDICIONES BANCARIAS'!$D$119</definedName>
    <definedName name="DTOBANCAJA">'CONDICIONES BANCARIAS'!$D$62:$E$67</definedName>
    <definedName name="DTOBBVA">#REF!</definedName>
    <definedName name="DTOSANTANDER">#REF!</definedName>
    <definedName name="ENTIDADES">'CONDICIONES BANCARIAS'!$C$6:$C$15</definedName>
    <definedName name="FN">'FRA. DTO. COMERCIAL'!$D$7</definedName>
    <definedName name="MínimoBancaja">'CONDICIONES BANCARIAS'!$E$22</definedName>
    <definedName name="MínimoBbva">'CONDICIONES BANCARIAS'!$E$26</definedName>
    <definedName name="MínimoSantander">'CONDICIONES BANCARIAS'!$E$30</definedName>
    <definedName name="TIMBREBANCAJA">TIMBRES!$B$4:$C$20</definedName>
    <definedName name="TIMBREBBVA">#REF!</definedName>
    <definedName name="TIMBRES">TIMBRES!$B$6:$C$19</definedName>
    <definedName name="TIMBRESANTANDER">#REF!</definedName>
    <definedName name="TOTAL_NEGOCIADO">'FRA. DTO. COMERCIAL'!$D$10</definedName>
  </definedNames>
  <calcPr calcId="152511"/>
</workbook>
</file>

<file path=xl/calcChain.xml><?xml version="1.0" encoding="utf-8"?>
<calcChain xmlns="http://schemas.openxmlformats.org/spreadsheetml/2006/main">
  <c r="G13" i="8" l="1"/>
  <c r="H5" i="8"/>
  <c r="G4" i="8"/>
  <c r="C5" i="8"/>
  <c r="C4" i="8"/>
  <c r="C12" i="8" s="1"/>
  <c r="B122" i="1"/>
  <c r="B123" i="1"/>
  <c r="B124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47" i="1"/>
  <c r="B48" i="1"/>
  <c r="B49" i="1"/>
  <c r="B50" i="1"/>
  <c r="B51" i="1"/>
  <c r="B52" i="1"/>
  <c r="B53" i="1"/>
  <c r="B54" i="1"/>
  <c r="B46" i="1"/>
  <c r="B45" i="1"/>
  <c r="B44" i="1"/>
  <c r="B43" i="1"/>
  <c r="B121" i="1"/>
  <c r="B125" i="1"/>
  <c r="B126" i="1"/>
  <c r="B120" i="1"/>
  <c r="B119" i="1"/>
  <c r="B118" i="1"/>
  <c r="B117" i="1"/>
  <c r="B83" i="1"/>
  <c r="B84" i="1"/>
  <c r="B85" i="1"/>
  <c r="B86" i="1"/>
  <c r="B87" i="1"/>
  <c r="B103" i="1"/>
  <c r="B104" i="1"/>
  <c r="B105" i="1"/>
  <c r="B106" i="1"/>
  <c r="B82" i="1"/>
  <c r="B81" i="1"/>
  <c r="B80" i="1"/>
  <c r="B79" i="1"/>
  <c r="B78" i="1"/>
  <c r="B58" i="1"/>
  <c r="B57" i="1"/>
  <c r="B56" i="1"/>
  <c r="B55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I28" i="4"/>
  <c r="B20" i="1"/>
  <c r="B19" i="1"/>
  <c r="I26" i="4"/>
  <c r="J26" i="4" s="1"/>
  <c r="B112" i="1"/>
  <c r="B111" i="1"/>
  <c r="B110" i="1"/>
  <c r="B109" i="1"/>
  <c r="B108" i="1"/>
  <c r="B107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F17" i="4"/>
  <c r="F18" i="4"/>
  <c r="F19" i="4"/>
  <c r="F20" i="4"/>
  <c r="F21" i="4"/>
  <c r="F22" i="4"/>
  <c r="I20" i="4"/>
  <c r="J20" i="4" s="1"/>
  <c r="I21" i="4"/>
  <c r="J21" i="4" s="1"/>
  <c r="I27" i="4"/>
  <c r="J27" i="4" s="1"/>
  <c r="I19" i="4"/>
  <c r="I22" i="4"/>
  <c r="J22" i="4" s="1"/>
  <c r="I14" i="4"/>
  <c r="J14" i="4" s="1"/>
  <c r="I23" i="4"/>
  <c r="I15" i="4"/>
  <c r="J15" i="4" s="1"/>
  <c r="I24" i="4"/>
  <c r="J24" i="4" s="1"/>
  <c r="I16" i="4"/>
  <c r="I25" i="4"/>
  <c r="J25" i="4" s="1"/>
  <c r="I17" i="4"/>
  <c r="J17" i="4" s="1"/>
  <c r="I18" i="4"/>
  <c r="J18" i="4" s="1"/>
  <c r="B14" i="4"/>
  <c r="K27" i="4"/>
  <c r="K19" i="4"/>
  <c r="G17" i="4"/>
  <c r="H17" i="4" s="1"/>
  <c r="J16" i="4"/>
  <c r="K14" i="4"/>
  <c r="K28" i="4"/>
  <c r="K20" i="4"/>
  <c r="K26" i="4"/>
  <c r="K22" i="4"/>
  <c r="B17" i="4"/>
  <c r="B18" i="4"/>
  <c r="B19" i="4"/>
  <c r="K21" i="4"/>
  <c r="K15" i="4"/>
  <c r="K23" i="4"/>
  <c r="J19" i="4"/>
  <c r="K16" i="4"/>
  <c r="K24" i="4"/>
  <c r="K17" i="4"/>
  <c r="K25" i="4"/>
  <c r="K18" i="4"/>
  <c r="G18" i="4"/>
  <c r="H18" i="4" s="1"/>
  <c r="J23" i="4"/>
  <c r="J28" i="4"/>
  <c r="F15" i="4"/>
  <c r="G15" i="4" s="1"/>
  <c r="H15" i="4" s="1"/>
  <c r="F16" i="4"/>
  <c r="G16" i="4" s="1"/>
  <c r="H16" i="4" s="1"/>
  <c r="G19" i="4"/>
  <c r="H19" i="4" s="1"/>
  <c r="G20" i="4"/>
  <c r="H20" i="4" s="1"/>
  <c r="G21" i="4"/>
  <c r="G22" i="4"/>
  <c r="H22" i="4" s="1"/>
  <c r="F23" i="4"/>
  <c r="G23" i="4"/>
  <c r="H23" i="4" s="1"/>
  <c r="F24" i="4"/>
  <c r="F25" i="4"/>
  <c r="G25" i="4"/>
  <c r="F26" i="4"/>
  <c r="G26" i="4"/>
  <c r="H26" i="4" s="1"/>
  <c r="F27" i="4"/>
  <c r="G27" i="4"/>
  <c r="F28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14" i="4"/>
  <c r="F14" i="4"/>
  <c r="G14" i="4" s="1"/>
  <c r="H14" i="4" s="1"/>
  <c r="D10" i="4"/>
  <c r="E7" i="4"/>
  <c r="M19" i="4"/>
  <c r="M26" i="4"/>
  <c r="M20" i="4"/>
  <c r="M17" i="4"/>
  <c r="M18" i="4"/>
  <c r="B20" i="4"/>
  <c r="G28" i="4"/>
  <c r="H28" i="4" s="1"/>
  <c r="M28" i="4"/>
  <c r="G24" i="4"/>
  <c r="H24" i="4" s="1"/>
  <c r="M24" i="4"/>
  <c r="H21" i="4"/>
  <c r="M21" i="4"/>
  <c r="H27" i="4"/>
  <c r="M27" i="4"/>
  <c r="H25" i="4"/>
  <c r="M25" i="4"/>
  <c r="M22" i="4"/>
  <c r="M23" i="4"/>
  <c r="L10" i="4"/>
  <c r="B21" i="4"/>
  <c r="B22" i="4"/>
  <c r="B23" i="4"/>
  <c r="B24" i="4"/>
  <c r="B25" i="4"/>
  <c r="B26" i="4"/>
  <c r="B27" i="4"/>
  <c r="B28" i="4"/>
  <c r="B10" i="4"/>
  <c r="C10" i="8" l="1"/>
  <c r="C13" i="8"/>
  <c r="C11" i="8"/>
  <c r="F10" i="4"/>
  <c r="C14" i="8"/>
  <c r="K10" i="4"/>
  <c r="M16" i="4"/>
  <c r="M15" i="4"/>
  <c r="J10" i="4"/>
  <c r="H10" i="4"/>
  <c r="G11" i="8" s="1"/>
  <c r="M14" i="4"/>
  <c r="I10" i="4" l="1"/>
  <c r="G12" i="8"/>
  <c r="E10" i="4"/>
  <c r="M10" i="4"/>
  <c r="L7" i="4" l="1"/>
  <c r="L6" i="4" s="1"/>
  <c r="G10" i="8"/>
  <c r="H14" i="8" s="1"/>
  <c r="G10" i="4"/>
</calcChain>
</file>

<file path=xl/comments1.xml><?xml version="1.0" encoding="utf-8"?>
<comments xmlns="http://schemas.openxmlformats.org/spreadsheetml/2006/main">
  <authors>
    <author>luisma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>Introduce la fecha de negociación de la remesa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3" authorId="0" shapeId="0">
      <text>
        <r>
          <rPr>
            <b/>
            <sz val="9"/>
            <color indexed="81"/>
            <rFont val="Tahoma"/>
            <family val="2"/>
          </rPr>
          <t xml:space="preserve">Introduce el tipo de efecto:
d=domiciliado
dna=domiciliado no aceptado
nd=no domiciliado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3" authorId="0" shapeId="0">
      <text>
        <r>
          <rPr>
            <b/>
            <sz val="9"/>
            <color indexed="81"/>
            <rFont val="Tahoma"/>
            <family val="2"/>
          </rPr>
          <t>Introduce el importe de los efectos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3" authorId="0" shapeId="0">
      <text>
        <r>
          <rPr>
            <b/>
            <sz val="9"/>
            <color indexed="81"/>
            <rFont val="Tahoma"/>
            <family val="2"/>
          </rPr>
          <t>Introduce el vencimiento de los efectos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<sst xmlns="http://schemas.openxmlformats.org/spreadsheetml/2006/main" count="258" uniqueCount="78">
  <si>
    <t>BANCO</t>
  </si>
  <si>
    <t>DÍAS</t>
  </si>
  <si>
    <t>INTERESES</t>
  </si>
  <si>
    <t>CORREO</t>
  </si>
  <si>
    <t>TIPO DE EFECTO</t>
  </si>
  <si>
    <t>NOMINAL</t>
  </si>
  <si>
    <t>TIPO INTERÉS</t>
  </si>
  <si>
    <t>TIMBRE</t>
  </si>
  <si>
    <t>VENCIMIENTO</t>
  </si>
  <si>
    <t>EXCESO*</t>
  </si>
  <si>
    <t>CLAVE</t>
  </si>
  <si>
    <t>PORCENTAJE</t>
  </si>
  <si>
    <t>d</t>
  </si>
  <si>
    <t>dna</t>
  </si>
  <si>
    <t>nd</t>
  </si>
  <si>
    <t>Mínimo</t>
  </si>
  <si>
    <t>TIPO</t>
  </si>
  <si>
    <t xml:space="preserve">   CORREO</t>
  </si>
  <si>
    <t>d=domiciliado</t>
  </si>
  <si>
    <t>dna=domiciliado no aceptado</t>
  </si>
  <si>
    <t>nd=no domiciliado</t>
  </si>
  <si>
    <t xml:space="preserve"> TOTAL NEGOCIADO</t>
  </si>
  <si>
    <t xml:space="preserve"> INTERESES</t>
  </si>
  <si>
    <t>T.Comisión</t>
  </si>
  <si>
    <t>TOTAL GASTOS</t>
  </si>
  <si>
    <t>Nº</t>
  </si>
  <si>
    <t>COMISIÓN</t>
  </si>
  <si>
    <t>TAE VTO MEDIO</t>
  </si>
  <si>
    <t>FECHA ACTUAL</t>
  </si>
  <si>
    <t>VENCIMIENTO MEDIO</t>
  </si>
  <si>
    <t>EFECTIVO NEGOCIACIÓN</t>
  </si>
  <si>
    <t>COSTE EFECTIVO EN % ANUAL</t>
  </si>
  <si>
    <t>FECHA DE NEGOCIACIÓN</t>
  </si>
  <si>
    <t>TIMBRES</t>
  </si>
  <si>
    <t>ENTIDAD</t>
  </si>
  <si>
    <t>CODIGO</t>
  </si>
  <si>
    <t>CONDICIONES BANCARIAS</t>
  </si>
  <si>
    <t>COMISIONES</t>
  </si>
  <si>
    <t>TIPO DE DESCUENTO</t>
  </si>
  <si>
    <t>ESCALA DEL TIMBRE DEL IAJD</t>
  </si>
  <si>
    <t>TIPO MEDIO DE COMISION</t>
  </si>
  <si>
    <t>EFECTOS</t>
  </si>
  <si>
    <t>COMISION EFECTO</t>
  </si>
  <si>
    <t>0</t>
  </si>
  <si>
    <t>61</t>
  </si>
  <si>
    <t>91</t>
  </si>
  <si>
    <t>121</t>
  </si>
  <si>
    <t>151</t>
  </si>
  <si>
    <t>ENTIDADES BANCARIAS</t>
  </si>
  <si>
    <t>TOTAL</t>
  </si>
  <si>
    <t>T.A.E.</t>
  </si>
  <si>
    <t>BCO1 (CAIXA POPULAR)</t>
  </si>
  <si>
    <t>BCO2 (POPULAR)</t>
  </si>
  <si>
    <t>BCO3 (BANKINTER)</t>
  </si>
  <si>
    <t>BCO4 (SABADELL)</t>
  </si>
  <si>
    <t>BCO5 (SANTANDER)</t>
  </si>
  <si>
    <t>BCO6 (BBVA)</t>
  </si>
  <si>
    <t>BCO7 (IBERCAJA)</t>
  </si>
  <si>
    <t>BCO8 (MARCH)</t>
  </si>
  <si>
    <t>BCO9 (CAIXABANK)</t>
  </si>
  <si>
    <t>Fecha</t>
  </si>
  <si>
    <t>Debe</t>
  </si>
  <si>
    <t>Haber</t>
  </si>
  <si>
    <t>Código</t>
  </si>
  <si>
    <t>Cuenta</t>
  </si>
  <si>
    <t>Concepto</t>
  </si>
  <si>
    <t>ASIENTO DE RECLASIFICACIÓN DE LOS EFECTOS</t>
  </si>
  <si>
    <t>ASIENTO DE CONTABILIZACIÓN DE LA NEGOCIACIÓN</t>
  </si>
  <si>
    <t>Efectos comerciales descontados</t>
  </si>
  <si>
    <t>Efectos comerciales en cartera</t>
  </si>
  <si>
    <t>Reclasificación efectos</t>
  </si>
  <si>
    <t>Descuento n/remesa nº</t>
  </si>
  <si>
    <t>Bancos c/c</t>
  </si>
  <si>
    <t>Intereses por descuento de efectos</t>
  </si>
  <si>
    <t>Servicios bancarios</t>
  </si>
  <si>
    <t>Otros tributos</t>
  </si>
  <si>
    <t>Deudas por efectos descontados</t>
  </si>
  <si>
    <t>ASIENTOS CONTABLES DE LA NEGOCIACIÓN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</si>
</sst>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_-* #,##0.00\ [$€-C0A]_-;\-* #,##0.00\ [$€-C0A]_-;_-* &quot;-&quot;??\ [$€-C0A]_-;_-@_-"/>
    <numFmt numFmtId="165" formatCode="0.000%"/>
    <numFmt numFmtId="166" formatCode="#,##0.00\ &quot;días&quot;"/>
    <numFmt numFmtId="167" formatCode="d\-m\-yy;@"/>
  </numFmts>
  <fonts count="2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"/>
      <name val="Calibri"/>
      <family val="2"/>
    </font>
    <font>
      <sz val="14"/>
      <color indexed="8"/>
      <name val="Calibri"/>
      <family val="2"/>
    </font>
    <font>
      <sz val="24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6"/>
      <color indexed="8"/>
      <name val="Calibri"/>
      <family val="2"/>
    </font>
    <font>
      <sz val="22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9"/>
      <name val="Aharoni"/>
      <charset val="177"/>
    </font>
    <font>
      <b/>
      <sz val="26"/>
      <color indexed="9"/>
      <name val="Aharoni"/>
      <charset val="177"/>
    </font>
    <font>
      <b/>
      <sz val="12"/>
      <color indexed="9"/>
      <name val="Calibri"/>
      <family val="2"/>
    </font>
    <font>
      <sz val="18"/>
      <color indexed="8"/>
      <name val="Calibri"/>
      <family val="2"/>
    </font>
    <font>
      <b/>
      <sz val="13"/>
      <color indexed="8"/>
      <name val="Segoe UI"/>
      <family val="2"/>
    </font>
    <font>
      <b/>
      <sz val="10"/>
      <color indexed="8"/>
      <name val="Calibri"/>
      <family val="2"/>
    </font>
    <font>
      <sz val="32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7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9" tint="0.59999389629810485"/>
        <bgColor indexed="65"/>
      </patternFill>
    </fill>
  </fills>
  <borders count="53">
    <border>
      <left/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/>
      <bottom style="hair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/>
      <right style="medium">
        <color indexed="36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</cellStyleXfs>
  <cellXfs count="144">
    <xf numFmtId="0" fontId="0" fillId="0" borderId="0" xfId="0"/>
    <xf numFmtId="10" fontId="0" fillId="0" borderId="1" xfId="1" applyNumberFormat="1" applyFont="1" applyBorder="1" applyAlignment="1">
      <alignment horizontal="center"/>
    </xf>
    <xf numFmtId="10" fontId="0" fillId="0" borderId="2" xfId="1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164" fontId="0" fillId="0" borderId="4" xfId="0" applyNumberForma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5" xfId="0" applyBorder="1" applyAlignment="1" applyProtection="1">
      <alignment horizontal="center" vertical="center"/>
      <protection locked="0"/>
    </xf>
    <xf numFmtId="164" fontId="0" fillId="0" borderId="5" xfId="0" applyNumberFormat="1" applyBorder="1" applyAlignment="1" applyProtection="1">
      <alignment horizontal="center" vertical="center"/>
      <protection locked="0"/>
    </xf>
    <xf numFmtId="14" fontId="0" fillId="0" borderId="5" xfId="0" applyNumberFormat="1" applyBorder="1" applyAlignment="1" applyProtection="1">
      <alignment horizontal="center" vertical="center"/>
      <protection locked="0"/>
    </xf>
    <xf numFmtId="164" fontId="0" fillId="0" borderId="6" xfId="0" applyNumberFormat="1" applyBorder="1" applyAlignment="1">
      <alignment horizontal="left" vertical="center"/>
    </xf>
    <xf numFmtId="164" fontId="2" fillId="0" borderId="7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vertical="center"/>
    </xf>
    <xf numFmtId="164" fontId="2" fillId="0" borderId="8" xfId="0" applyNumberFormat="1" applyFont="1" applyBorder="1" applyAlignment="1">
      <alignment horizontal="left" vertical="center"/>
    </xf>
    <xf numFmtId="164" fontId="2" fillId="0" borderId="9" xfId="0" applyNumberFormat="1" applyFont="1" applyBorder="1" applyAlignment="1">
      <alignment horizontal="left" vertical="center"/>
    </xf>
    <xf numFmtId="166" fontId="2" fillId="2" borderId="1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14" fontId="2" fillId="0" borderId="15" xfId="0" applyNumberFormat="1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0" fontId="2" fillId="2" borderId="18" xfId="1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left" vertical="center" indent="2"/>
    </xf>
    <xf numFmtId="0" fontId="2" fillId="2" borderId="12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left" vertical="center"/>
    </xf>
    <xf numFmtId="0" fontId="0" fillId="0" borderId="20" xfId="0" applyBorder="1" applyAlignment="1" applyProtection="1">
      <alignment horizontal="center" vertical="center"/>
      <protection locked="0"/>
    </xf>
    <xf numFmtId="164" fontId="0" fillId="0" borderId="20" xfId="0" applyNumberFormat="1" applyBorder="1" applyAlignment="1" applyProtection="1">
      <alignment horizontal="center" vertical="center"/>
      <protection locked="0"/>
    </xf>
    <xf numFmtId="14" fontId="0" fillId="0" borderId="20" xfId="0" applyNumberFormat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164" fontId="0" fillId="0" borderId="21" xfId="0" applyNumberFormat="1" applyBorder="1" applyAlignment="1" applyProtection="1">
      <alignment horizontal="center" vertical="center"/>
      <protection locked="0"/>
    </xf>
    <xf numFmtId="14" fontId="0" fillId="0" borderId="21" xfId="0" applyNumberFormat="1" applyBorder="1" applyAlignment="1" applyProtection="1">
      <alignment horizontal="center" vertical="center"/>
      <protection locked="0"/>
    </xf>
    <xf numFmtId="0" fontId="2" fillId="2" borderId="22" xfId="0" applyFont="1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0" fontId="0" fillId="0" borderId="1" xfId="1" applyNumberFormat="1" applyFont="1" applyBorder="1" applyAlignment="1">
      <alignment horizontal="center" vertical="center"/>
    </xf>
    <xf numFmtId="165" fontId="0" fillId="0" borderId="1" xfId="1" applyNumberFormat="1" applyFont="1" applyBorder="1" applyAlignment="1">
      <alignment horizontal="center" vertical="center"/>
    </xf>
    <xf numFmtId="2" fontId="0" fillId="0" borderId="2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4" xfId="0" applyBorder="1" applyAlignment="1">
      <alignment horizontal="left" vertical="center"/>
    </xf>
    <xf numFmtId="0" fontId="11" fillId="2" borderId="16" xfId="0" applyFont="1" applyFill="1" applyBorder="1" applyAlignment="1">
      <alignment vertical="center"/>
    </xf>
    <xf numFmtId="0" fontId="11" fillId="2" borderId="24" xfId="0" applyFont="1" applyFill="1" applyBorder="1" applyAlignment="1">
      <alignment vertical="center"/>
    </xf>
    <xf numFmtId="0" fontId="11" fillId="2" borderId="25" xfId="0" applyFont="1" applyFill="1" applyBorder="1" applyAlignment="1">
      <alignment vertical="center"/>
    </xf>
    <xf numFmtId="10" fontId="0" fillId="0" borderId="26" xfId="1" applyNumberFormat="1" applyFont="1" applyBorder="1" applyAlignment="1">
      <alignment horizontal="center"/>
    </xf>
    <xf numFmtId="10" fontId="0" fillId="0" borderId="27" xfId="1" applyNumberFormat="1" applyFont="1" applyBorder="1" applyAlignment="1">
      <alignment horizontal="center"/>
    </xf>
    <xf numFmtId="10" fontId="0" fillId="0" borderId="28" xfId="1" applyNumberFormat="1" applyFont="1" applyBorder="1" applyAlignment="1">
      <alignment horizont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10" fillId="3" borderId="31" xfId="0" applyFont="1" applyFill="1" applyBorder="1" applyAlignment="1">
      <alignment horizontal="centerContinuous" vertical="center"/>
    </xf>
    <xf numFmtId="0" fontId="10" fillId="3" borderId="10" xfId="0" applyFont="1" applyFill="1" applyBorder="1" applyAlignment="1">
      <alignment horizontal="centerContinuous" vertical="center"/>
    </xf>
    <xf numFmtId="0" fontId="9" fillId="3" borderId="12" xfId="0" applyFont="1" applyFill="1" applyBorder="1" applyAlignment="1">
      <alignment vertical="center"/>
    </xf>
    <xf numFmtId="0" fontId="9" fillId="3" borderId="19" xfId="0" applyFont="1" applyFill="1" applyBorder="1" applyAlignment="1">
      <alignment vertical="center"/>
    </xf>
    <xf numFmtId="164" fontId="0" fillId="0" borderId="32" xfId="0" applyNumberFormat="1" applyFont="1" applyBorder="1" applyAlignment="1">
      <alignment vertical="center"/>
    </xf>
    <xf numFmtId="164" fontId="0" fillId="0" borderId="33" xfId="0" applyNumberFormat="1" applyFont="1" applyBorder="1"/>
    <xf numFmtId="0" fontId="0" fillId="2" borderId="34" xfId="0" applyFill="1" applyBorder="1" applyAlignment="1" applyProtection="1">
      <alignment horizontal="center" vertical="center"/>
      <protection locked="0"/>
    </xf>
    <xf numFmtId="0" fontId="0" fillId="2" borderId="35" xfId="0" applyFill="1" applyBorder="1" applyAlignment="1" applyProtection="1">
      <alignment horizontal="center" vertical="center"/>
      <protection locked="0"/>
    </xf>
    <xf numFmtId="0" fontId="0" fillId="2" borderId="36" xfId="0" applyFill="1" applyBorder="1" applyAlignment="1" applyProtection="1">
      <alignment horizontal="center" vertical="center"/>
      <protection locked="0"/>
    </xf>
    <xf numFmtId="0" fontId="16" fillId="3" borderId="11" xfId="0" applyFont="1" applyFill="1" applyBorder="1" applyAlignment="1">
      <alignment horizontal="left" vertical="center" indent="1"/>
    </xf>
    <xf numFmtId="0" fontId="2" fillId="2" borderId="11" xfId="0" applyFont="1" applyFill="1" applyBorder="1" applyAlignment="1">
      <alignment horizontal="left" vertical="center"/>
    </xf>
    <xf numFmtId="164" fontId="0" fillId="0" borderId="37" xfId="0" applyNumberFormat="1" applyBorder="1" applyAlignment="1">
      <alignment horizontal="center" vertical="center"/>
    </xf>
    <xf numFmtId="164" fontId="0" fillId="0" borderId="22" xfId="0" applyNumberFormat="1" applyBorder="1" applyAlignment="1">
      <alignment horizontal="center" vertical="center"/>
    </xf>
    <xf numFmtId="164" fontId="0" fillId="0" borderId="23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2" fillId="2" borderId="11" xfId="0" applyFont="1" applyFill="1" applyBorder="1" applyAlignment="1">
      <alignment horizontal="centerContinuous" vertical="center"/>
    </xf>
    <xf numFmtId="0" fontId="2" fillId="2" borderId="19" xfId="0" applyFont="1" applyFill="1" applyBorder="1" applyAlignment="1">
      <alignment horizontal="centerContinuous" vertical="center"/>
    </xf>
    <xf numFmtId="165" fontId="2" fillId="0" borderId="8" xfId="0" applyNumberFormat="1" applyFont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 wrapText="1"/>
    </xf>
    <xf numFmtId="0" fontId="6" fillId="2" borderId="39" xfId="0" applyFont="1" applyFill="1" applyBorder="1" applyAlignment="1">
      <alignment horizontal="center" vertical="center" wrapText="1"/>
    </xf>
    <xf numFmtId="1" fontId="0" fillId="2" borderId="20" xfId="0" applyNumberFormat="1" applyFill="1" applyBorder="1" applyAlignment="1">
      <alignment horizontal="center" vertical="center"/>
    </xf>
    <xf numFmtId="10" fontId="0" fillId="2" borderId="20" xfId="1" applyNumberFormat="1" applyFont="1" applyFill="1" applyBorder="1" applyAlignment="1">
      <alignment horizontal="center" vertical="center"/>
    </xf>
    <xf numFmtId="165" fontId="0" fillId="2" borderId="20" xfId="1" applyNumberFormat="1" applyFont="1" applyFill="1" applyBorder="1" applyAlignment="1">
      <alignment horizontal="center" vertical="center"/>
    </xf>
    <xf numFmtId="164" fontId="0" fillId="2" borderId="20" xfId="0" applyNumberFormat="1" applyFill="1" applyBorder="1" applyAlignment="1">
      <alignment horizontal="center" vertical="center"/>
    </xf>
    <xf numFmtId="164" fontId="0" fillId="2" borderId="40" xfId="0" applyNumberFormat="1" applyFill="1" applyBorder="1" applyAlignment="1">
      <alignment horizontal="center" vertical="center"/>
    </xf>
    <xf numFmtId="1" fontId="0" fillId="2" borderId="5" xfId="0" applyNumberFormat="1" applyFill="1" applyBorder="1" applyAlignment="1">
      <alignment horizontal="center" vertical="center"/>
    </xf>
    <xf numFmtId="10" fontId="0" fillId="2" borderId="5" xfId="1" applyNumberFormat="1" applyFont="1" applyFill="1" applyBorder="1" applyAlignment="1">
      <alignment horizontal="center" vertical="center"/>
    </xf>
    <xf numFmtId="165" fontId="0" fillId="2" borderId="5" xfId="1" applyNumberFormat="1" applyFont="1" applyFill="1" applyBorder="1" applyAlignment="1">
      <alignment horizontal="center" vertical="center"/>
    </xf>
    <xf numFmtId="164" fontId="0" fillId="2" borderId="5" xfId="0" applyNumberFormat="1" applyFill="1" applyBorder="1" applyAlignment="1">
      <alignment horizontal="center" vertical="center"/>
    </xf>
    <xf numFmtId="164" fontId="0" fillId="2" borderId="41" xfId="0" applyNumberFormat="1" applyFill="1" applyBorder="1" applyAlignment="1">
      <alignment horizontal="center" vertical="center"/>
    </xf>
    <xf numFmtId="1" fontId="0" fillId="2" borderId="21" xfId="0" applyNumberFormat="1" applyFill="1" applyBorder="1" applyAlignment="1">
      <alignment horizontal="center" vertical="center"/>
    </xf>
    <xf numFmtId="10" fontId="0" fillId="2" borderId="21" xfId="1" applyNumberFormat="1" applyFont="1" applyFill="1" applyBorder="1" applyAlignment="1">
      <alignment horizontal="center" vertical="center"/>
    </xf>
    <xf numFmtId="165" fontId="0" fillId="2" borderId="21" xfId="1" applyNumberFormat="1" applyFont="1" applyFill="1" applyBorder="1" applyAlignment="1">
      <alignment horizontal="center" vertical="center"/>
    </xf>
    <xf numFmtId="164" fontId="0" fillId="2" borderId="21" xfId="0" applyNumberFormat="1" applyFill="1" applyBorder="1" applyAlignment="1">
      <alignment horizontal="center" vertical="center"/>
    </xf>
    <xf numFmtId="164" fontId="0" fillId="2" borderId="42" xfId="0" applyNumberFormat="1" applyFill="1" applyBorder="1" applyAlignment="1">
      <alignment horizontal="center" vertical="center"/>
    </xf>
    <xf numFmtId="0" fontId="17" fillId="3" borderId="17" xfId="0" applyFont="1" applyFill="1" applyBorder="1" applyAlignment="1">
      <alignment horizontal="centerContinuous" vertical="center"/>
    </xf>
    <xf numFmtId="10" fontId="18" fillId="3" borderId="18" xfId="1" applyNumberFormat="1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0" fillId="2" borderId="43" xfId="0" applyFill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49" fontId="0" fillId="0" borderId="44" xfId="0" applyNumberFormat="1" applyBorder="1" applyAlignment="1">
      <alignment horizontal="center"/>
    </xf>
    <xf numFmtId="49" fontId="0" fillId="0" borderId="23" xfId="0" applyNumberFormat="1" applyBorder="1" applyAlignment="1">
      <alignment horizontal="center"/>
    </xf>
    <xf numFmtId="49" fontId="0" fillId="0" borderId="45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0" fillId="2" borderId="37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2" borderId="46" xfId="0" applyFill="1" applyBorder="1" applyAlignment="1">
      <alignment horizontal="center" vertical="center"/>
    </xf>
    <xf numFmtId="0" fontId="16" fillId="3" borderId="17" xfId="0" applyFont="1" applyFill="1" applyBorder="1" applyAlignment="1">
      <alignment horizontal="left" vertical="center" indent="1"/>
    </xf>
    <xf numFmtId="0" fontId="9" fillId="3" borderId="31" xfId="0" applyFont="1" applyFill="1" applyBorder="1" applyAlignment="1">
      <alignment vertical="center"/>
    </xf>
    <xf numFmtId="0" fontId="9" fillId="3" borderId="10" xfId="0" applyFont="1" applyFill="1" applyBorder="1" applyAlignment="1">
      <alignment vertical="center"/>
    </xf>
    <xf numFmtId="0" fontId="0" fillId="2" borderId="24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164" fontId="0" fillId="0" borderId="33" xfId="0" applyNumberFormat="1" applyFont="1" applyBorder="1" applyAlignment="1"/>
    <xf numFmtId="164" fontId="0" fillId="0" borderId="0" xfId="0" applyNumberFormat="1" applyAlignment="1">
      <alignment vertical="center"/>
    </xf>
    <xf numFmtId="0" fontId="21" fillId="2" borderId="47" xfId="0" applyFont="1" applyFill="1" applyBorder="1" applyAlignment="1">
      <alignment horizontal="center" vertical="center" wrapText="1"/>
    </xf>
    <xf numFmtId="0" fontId="21" fillId="2" borderId="38" xfId="0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10" fontId="2" fillId="2" borderId="38" xfId="1" applyNumberFormat="1" applyFont="1" applyFill="1" applyBorder="1" applyAlignment="1">
      <alignment horizontal="center" vertical="center"/>
    </xf>
    <xf numFmtId="14" fontId="2" fillId="4" borderId="12" xfId="0" applyNumberFormat="1" applyFont="1" applyFill="1" applyBorder="1" applyAlignment="1" applyProtection="1">
      <alignment horizontal="center" vertical="center"/>
      <protection locked="0"/>
    </xf>
    <xf numFmtId="164" fontId="15" fillId="4" borderId="9" xfId="0" applyNumberFormat="1" applyFont="1" applyFill="1" applyBorder="1" applyAlignment="1">
      <alignment horizontal="left" vertical="center"/>
    </xf>
    <xf numFmtId="164" fontId="15" fillId="2" borderId="38" xfId="0" applyNumberFormat="1" applyFont="1" applyFill="1" applyBorder="1" applyAlignment="1">
      <alignment horizontal="center" vertical="center"/>
    </xf>
    <xf numFmtId="0" fontId="0" fillId="0" borderId="48" xfId="0" applyBorder="1" applyAlignment="1">
      <alignment horizontal="left" vertical="center"/>
    </xf>
    <xf numFmtId="0" fontId="9" fillId="5" borderId="49" xfId="0" applyFont="1" applyFill="1" applyBorder="1" applyAlignment="1">
      <alignment horizontal="center" vertical="center" wrapText="1"/>
    </xf>
    <xf numFmtId="0" fontId="9" fillId="5" borderId="50" xfId="0" applyFont="1" applyFill="1" applyBorder="1" applyAlignment="1">
      <alignment horizontal="center" vertical="center" wrapText="1"/>
    </xf>
    <xf numFmtId="0" fontId="9" fillId="5" borderId="51" xfId="0" applyFont="1" applyFill="1" applyBorder="1" applyAlignment="1">
      <alignment horizontal="center" vertical="center" wrapText="1"/>
    </xf>
    <xf numFmtId="164" fontId="0" fillId="0" borderId="33" xfId="0" applyNumberFormat="1" applyBorder="1"/>
    <xf numFmtId="0" fontId="0" fillId="0" borderId="52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23" fillId="8" borderId="0" xfId="4" applyAlignment="1">
      <alignment horizontal="center"/>
    </xf>
    <xf numFmtId="167" fontId="0" fillId="0" borderId="0" xfId="0" applyNumberFormat="1" applyAlignment="1"/>
    <xf numFmtId="43" fontId="0" fillId="0" borderId="0" xfId="2" applyFont="1"/>
    <xf numFmtId="43" fontId="0" fillId="0" borderId="0" xfId="0" applyNumberFormat="1"/>
    <xf numFmtId="43" fontId="0" fillId="0" borderId="0" xfId="2" applyFont="1" applyAlignment="1">
      <alignment horizontal="right"/>
    </xf>
    <xf numFmtId="0" fontId="0" fillId="0" borderId="0" xfId="0" applyAlignment="1">
      <alignment horizontal="right"/>
    </xf>
    <xf numFmtId="0" fontId="20" fillId="6" borderId="17" xfId="0" applyFont="1" applyFill="1" applyBorder="1" applyAlignment="1" applyProtection="1">
      <alignment horizontal="center" vertical="center" wrapText="1"/>
      <protection locked="0"/>
    </xf>
    <xf numFmtId="0" fontId="0" fillId="0" borderId="31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24" fillId="7" borderId="0" xfId="3" applyFont="1" applyAlignment="1">
      <alignment horizontal="center"/>
    </xf>
    <xf numFmtId="0" fontId="26" fillId="9" borderId="0" xfId="5" applyFont="1" applyAlignment="1">
      <alignment horizontal="center" vertical="center" wrapText="1"/>
    </xf>
  </cellXfs>
  <cellStyles count="6">
    <cellStyle name="40% - Énfasis4" xfId="4" builtinId="43"/>
    <cellStyle name="40% - Énfasis6" xfId="5" builtinId="51"/>
    <cellStyle name="Énfasis4" xfId="3" builtinId="41"/>
    <cellStyle name="Millares" xfId="2" builtinId="3"/>
    <cellStyle name="Normal" xfId="0" builtinId="0"/>
    <cellStyle name="Porcentaje" xfId="1" builtinId="5"/>
  </cellStyles>
  <dxfs count="1">
    <dxf>
      <font>
        <b/>
        <i val="0"/>
      </font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5693</xdr:colOff>
      <xdr:row>1</xdr:row>
      <xdr:rowOff>0</xdr:rowOff>
    </xdr:from>
    <xdr:ext cx="10430394" cy="708166"/>
    <xdr:sp macro="" textlink="">
      <xdr:nvSpPr>
        <xdr:cNvPr id="2" name="Rectángulo 1"/>
        <xdr:cNvSpPr/>
      </xdr:nvSpPr>
      <xdr:spPr>
        <a:xfrm>
          <a:off x="179628" y="132522"/>
          <a:ext cx="10430394" cy="708166"/>
        </a:xfrm>
        <a:prstGeom prst="rect">
          <a:avLst/>
        </a:prstGeom>
        <a:solidFill>
          <a:schemeClr val="accent3">
            <a:lumMod val="60000"/>
            <a:lumOff val="40000"/>
          </a:schemeClr>
        </a:solidFill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600" b="1" cap="none" spc="50">
              <a:ln w="9525" cmpd="sng">
                <a:solidFill>
                  <a:schemeClr val="accent1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  <a:latin typeface="Segoe UI" panose="020B0502040204020203" pitchFamily="34" charset="0"/>
              <a:cs typeface="Segoe UI" panose="020B0502040204020203" pitchFamily="34" charset="0"/>
            </a:rPr>
            <a:t>FACTURA</a:t>
          </a:r>
          <a:r>
            <a:rPr lang="es-ES" sz="3600" b="1" cap="none" spc="50" baseline="0">
              <a:ln w="9525" cmpd="sng">
                <a:solidFill>
                  <a:schemeClr val="accent1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  <a:latin typeface="Segoe UI" panose="020B0502040204020203" pitchFamily="34" charset="0"/>
              <a:cs typeface="Segoe UI" panose="020B0502040204020203" pitchFamily="34" charset="0"/>
            </a:rPr>
            <a:t> DE DESCUENTO COMERCIAL</a:t>
          </a:r>
          <a:endParaRPr lang="es-ES" sz="3600" b="1" cap="none" spc="50">
            <a:ln w="9525" cmpd="sng">
              <a:solidFill>
                <a:schemeClr val="accent1"/>
              </a:solidFill>
              <a:prstDash val="solid"/>
            </a:ln>
            <a:solidFill>
              <a:srgbClr val="70AD47">
                <a:tint val="1000"/>
              </a:srgbClr>
            </a:solidFill>
            <a:effectLst>
              <a:glow rad="38100">
                <a:schemeClr val="accent1">
                  <a:alpha val="40000"/>
                </a:schemeClr>
              </a:glow>
            </a:effectLst>
            <a:latin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114300</xdr:colOff>
          <xdr:row>4</xdr:row>
          <xdr:rowOff>47625</xdr:rowOff>
        </xdr:from>
        <xdr:to>
          <xdr:col>6</xdr:col>
          <xdr:colOff>76200</xdr:colOff>
          <xdr:row>7</xdr:row>
          <xdr:rowOff>0</xdr:rowOff>
        </xdr:to>
        <xdr:sp macro="" textlink="">
          <xdr:nvSpPr>
            <xdr:cNvPr id="1044" name="Button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ES" sz="700" b="1" i="0" u="none" strike="noStrike" baseline="0">
                  <a:solidFill>
                    <a:srgbClr val="000000"/>
                  </a:solidFill>
                  <a:latin typeface="Calibri"/>
                </a:rPr>
                <a:t>NUEVA NEGOCIACIÓN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tabColor theme="3" tint="-0.249977111117893"/>
  </sheetPr>
  <dimension ref="A1:O31"/>
  <sheetViews>
    <sheetView showGridLines="0" showRowColHeaders="0" zoomScale="115" zoomScaleNormal="115" workbookViewId="0">
      <selection activeCell="D8" sqref="D8"/>
    </sheetView>
  </sheetViews>
  <sheetFormatPr baseColWidth="10" defaultRowHeight="15" x14ac:dyDescent="0.25"/>
  <cols>
    <col min="1" max="1" width="2.5703125" style="3" customWidth="1"/>
    <col min="2" max="3" width="11.5703125" style="3" customWidth="1"/>
    <col min="4" max="4" width="14.140625" style="3" customWidth="1"/>
    <col min="5" max="5" width="15" style="3" customWidth="1"/>
    <col min="6" max="6" width="13.140625" style="3" customWidth="1"/>
    <col min="7" max="7" width="13" style="3" customWidth="1"/>
    <col min="8" max="8" width="14.140625" style="3" customWidth="1"/>
    <col min="9" max="12" width="12.28515625" style="3" customWidth="1"/>
    <col min="13" max="13" width="14.7109375" style="3" customWidth="1"/>
    <col min="14" max="14" width="11.42578125" style="3"/>
    <col min="15" max="15" width="12" style="3" bestFit="1" customWidth="1"/>
    <col min="16" max="16384" width="11.42578125" style="3"/>
  </cols>
  <sheetData>
    <row r="1" spans="1:13" ht="10.5" customHeight="1" x14ac:dyDescent="0.25">
      <c r="C1" s="4"/>
    </row>
    <row r="2" spans="1:13" ht="55.5" customHeight="1" x14ac:dyDescent="0.25">
      <c r="A2" s="121"/>
    </row>
    <row r="3" spans="1:13" ht="10.5" customHeight="1" thickBot="1" x14ac:dyDescent="0.3"/>
    <row r="4" spans="1:13" ht="24" thickBot="1" x14ac:dyDescent="0.3">
      <c r="A4" s="96"/>
      <c r="I4" s="29" t="s">
        <v>0</v>
      </c>
      <c r="J4" s="139" t="s">
        <v>54</v>
      </c>
      <c r="K4" s="140"/>
      <c r="L4" s="141"/>
    </row>
    <row r="5" spans="1:13" ht="7.5" customHeight="1" thickBot="1" x14ac:dyDescent="0.3"/>
    <row r="6" spans="1:13" ht="18.75" customHeight="1" thickBot="1" x14ac:dyDescent="0.3">
      <c r="E6" s="28" t="s">
        <v>28</v>
      </c>
      <c r="G6" s="5"/>
      <c r="H6" s="5"/>
      <c r="I6" s="31" t="s">
        <v>31</v>
      </c>
      <c r="J6" s="32"/>
      <c r="K6" s="33"/>
      <c r="L6" s="95">
        <f>IF(D10=0,"",((1+L7)^(360/F10))-1)</f>
        <v>0.19457152917805498</v>
      </c>
    </row>
    <row r="7" spans="1:13" ht="18.75" customHeight="1" thickBot="1" x14ac:dyDescent="0.3">
      <c r="B7" s="67" t="s">
        <v>32</v>
      </c>
      <c r="C7" s="97"/>
      <c r="D7" s="123">
        <v>41654</v>
      </c>
      <c r="E7" s="27">
        <f ca="1">TODAY()</f>
        <v>41866</v>
      </c>
      <c r="F7" s="5"/>
      <c r="G7" s="5"/>
      <c r="H7" s="6"/>
      <c r="I7" s="31" t="s">
        <v>27</v>
      </c>
      <c r="J7" s="32"/>
      <c r="K7" s="33"/>
      <c r="L7" s="30">
        <f>IF(D10="","",(D10/E10)-1)</f>
        <v>6.2976850923205152E-2</v>
      </c>
    </row>
    <row r="8" spans="1:13" ht="7.5" customHeight="1" thickBot="1" x14ac:dyDescent="0.3"/>
    <row r="9" spans="1:13" ht="29.25" thickBot="1" x14ac:dyDescent="0.3">
      <c r="A9" s="22"/>
      <c r="B9" s="23" t="s">
        <v>41</v>
      </c>
      <c r="C9" s="24"/>
      <c r="D9" s="25" t="s">
        <v>21</v>
      </c>
      <c r="E9" s="26" t="s">
        <v>30</v>
      </c>
      <c r="F9" s="77" t="s">
        <v>29</v>
      </c>
      <c r="G9" s="119" t="s">
        <v>50</v>
      </c>
      <c r="H9" s="25" t="s">
        <v>22</v>
      </c>
      <c r="I9" s="78" t="s">
        <v>40</v>
      </c>
      <c r="J9" s="78" t="s">
        <v>42</v>
      </c>
      <c r="K9" s="78" t="s">
        <v>3</v>
      </c>
      <c r="L9" s="26" t="s">
        <v>33</v>
      </c>
      <c r="M9" s="120" t="s">
        <v>24</v>
      </c>
    </row>
    <row r="10" spans="1:13" ht="21.75" thickBot="1" x14ac:dyDescent="0.3">
      <c r="A10" s="21"/>
      <c r="B10" s="7">
        <f>COUNT(B14:B28)</f>
        <v>3</v>
      </c>
      <c r="C10" s="8"/>
      <c r="D10" s="15">
        <f>SUM(D14:D28)</f>
        <v>6000</v>
      </c>
      <c r="E10" s="124">
        <f>D10-H10-J10-L10-K10</f>
        <v>5644.5255555555559</v>
      </c>
      <c r="F10" s="20">
        <f>IF(D10=0,"",SUMPRODUCT(D14:D28,F14:F28)/D10)</f>
        <v>123.66666666666667</v>
      </c>
      <c r="G10" s="122">
        <f>(M10/F10*360)/E10</f>
        <v>0.18332883826701254</v>
      </c>
      <c r="H10" s="16">
        <f>SUM(H14:H28)</f>
        <v>82.444444444444443</v>
      </c>
      <c r="I10" s="76">
        <f>IF(D10=0,"",J10/D10)</f>
        <v>0.04</v>
      </c>
      <c r="J10" s="17">
        <f>SUM(J14:J28)</f>
        <v>240</v>
      </c>
      <c r="K10" s="18">
        <f>SUM(K14:K28)</f>
        <v>12</v>
      </c>
      <c r="L10" s="19">
        <f>SUM(L14:L28)</f>
        <v>21.03</v>
      </c>
      <c r="M10" s="125">
        <f>H10+J10+L10+K10</f>
        <v>355.47444444444443</v>
      </c>
    </row>
    <row r="11" spans="1:13" ht="3.75" customHeight="1" x14ac:dyDescent="0.25"/>
    <row r="12" spans="1:13" ht="3.75" customHeight="1" thickBot="1" x14ac:dyDescent="0.3"/>
    <row r="13" spans="1:13" ht="32.25" thickBot="1" x14ac:dyDescent="0.3">
      <c r="A13" s="9"/>
      <c r="B13" s="127" t="s">
        <v>25</v>
      </c>
      <c r="C13" s="128" t="s">
        <v>4</v>
      </c>
      <c r="D13" s="128" t="s">
        <v>5</v>
      </c>
      <c r="E13" s="128" t="s">
        <v>8</v>
      </c>
      <c r="F13" s="128" t="s">
        <v>1</v>
      </c>
      <c r="G13" s="128" t="s">
        <v>6</v>
      </c>
      <c r="H13" s="128" t="s">
        <v>2</v>
      </c>
      <c r="I13" s="128" t="s">
        <v>23</v>
      </c>
      <c r="J13" s="128" t="s">
        <v>26</v>
      </c>
      <c r="K13" s="128" t="s">
        <v>3</v>
      </c>
      <c r="L13" s="129" t="s">
        <v>7</v>
      </c>
      <c r="M13" s="129" t="s">
        <v>49</v>
      </c>
    </row>
    <row r="14" spans="1:13" ht="19.5" customHeight="1" x14ac:dyDescent="0.25">
      <c r="A14" s="10"/>
      <c r="B14" s="63">
        <f>IF(COUNTA(C14:E14)=0,"",MAX(B$13:B13)+1)</f>
        <v>1</v>
      </c>
      <c r="C14" s="34" t="s">
        <v>12</v>
      </c>
      <c r="D14" s="35">
        <v>1000</v>
      </c>
      <c r="E14" s="36">
        <v>41698</v>
      </c>
      <c r="F14" s="79">
        <f t="shared" ref="F14:F28" si="0">IF(E14="","",E14-$D$7)</f>
        <v>44</v>
      </c>
      <c r="G14" s="80">
        <f>IF(E14="","",VLOOKUP(CONCATENATE($J$4,"-",REPT("0",3-LEN(F14)),F14),'CONDICIONES BANCARIAS'!$B$63:$E$112,4,1))</f>
        <v>0.04</v>
      </c>
      <c r="H14" s="82">
        <f>IF(G14="","",(D14*G14*F14)/360)</f>
        <v>4.8888888888888893</v>
      </c>
      <c r="I14" s="81">
        <f>IF(E14="","",VLOOKUP(CONCATENATE($J$4,"-",C14),'CONDICIONES BANCARIAS'!$B$19:$E$58,4,0))</f>
        <v>0.04</v>
      </c>
      <c r="J14" s="82">
        <f>IF(I14="","",MAX(D14*I14,VLOOKUP(CONCATENATE($J$4,"-","Mínimo"),'CONDICIONES BANCARIAS'!$B$19:$E$58,4,0)))</f>
        <v>40</v>
      </c>
      <c r="K14" s="82">
        <f>IF(E14="","",VLOOKUP($J$4,'CONDICIONES BANCARIAS'!$B$117:$D$126,3,0))</f>
        <v>4</v>
      </c>
      <c r="L14" s="83">
        <f t="shared" ref="L14:L28" si="1">IF(E14="","",VLOOKUP(D14,TIMBRES,2))</f>
        <v>4.21</v>
      </c>
      <c r="M14" s="83">
        <f>IF(E14="","",SUM(H14,J14,K14,L14))</f>
        <v>53.098888888888887</v>
      </c>
    </row>
    <row r="15" spans="1:13" ht="19.5" customHeight="1" x14ac:dyDescent="0.25">
      <c r="A15" s="10"/>
      <c r="B15" s="64">
        <v>2</v>
      </c>
      <c r="C15" s="12" t="s">
        <v>13</v>
      </c>
      <c r="D15" s="13">
        <v>2000</v>
      </c>
      <c r="E15" s="14">
        <v>41757</v>
      </c>
      <c r="F15" s="84">
        <f t="shared" si="0"/>
        <v>103</v>
      </c>
      <c r="G15" s="85">
        <f>IF(E15="","",VLOOKUP(CONCATENATE($J$4,"-",REPT("0",3-LEN(F15)),F15),'CONDICIONES BANCARIAS'!$B$63:$E$112,4,1))</f>
        <v>0.04</v>
      </c>
      <c r="H15" s="87">
        <f t="shared" ref="H15:H28" si="2">IF(G15="","",(D15*G15*F15)/360)</f>
        <v>22.888888888888889</v>
      </c>
      <c r="I15" s="86">
        <f>IF(E15="","",VLOOKUP(CONCATENATE($J$4,"-",C15),'CONDICIONES BANCARIAS'!$B$19:$E$58,4,0))</f>
        <v>0.04</v>
      </c>
      <c r="J15" s="87">
        <f>IF(I15="","",MAX(D15*I15,VLOOKUP(CONCATENATE($J$4,"-","Mínimo"),'CONDICIONES BANCARIAS'!$B$19:$E$58,4,0)))</f>
        <v>80</v>
      </c>
      <c r="K15" s="87">
        <f>IF(E15="","",VLOOKUP($J$4,'CONDICIONES BANCARIAS'!$B$117:$D$126,3,0))</f>
        <v>4</v>
      </c>
      <c r="L15" s="88">
        <f t="shared" si="1"/>
        <v>8.41</v>
      </c>
      <c r="M15" s="88">
        <f t="shared" ref="M15:M28" si="3">IF(E15="","",SUM(H15,J15,K15,L15))</f>
        <v>115.29888888888888</v>
      </c>
    </row>
    <row r="16" spans="1:13" ht="19.5" customHeight="1" x14ac:dyDescent="0.25">
      <c r="A16" s="10"/>
      <c r="B16" s="64">
        <v>3</v>
      </c>
      <c r="C16" s="12" t="s">
        <v>14</v>
      </c>
      <c r="D16" s="13">
        <v>3000</v>
      </c>
      <c r="E16" s="14">
        <v>41818</v>
      </c>
      <c r="F16" s="84">
        <f t="shared" si="0"/>
        <v>164</v>
      </c>
      <c r="G16" s="85">
        <f>IF(E16="","",VLOOKUP(CONCATENATE($J$4,"-",REPT("0",3-LEN(F16)),F16),'CONDICIONES BANCARIAS'!$B$63:$E$112,4,1))</f>
        <v>0.04</v>
      </c>
      <c r="H16" s="87">
        <f t="shared" si="2"/>
        <v>54.666666666666664</v>
      </c>
      <c r="I16" s="86">
        <f>IF(E16="","",VLOOKUP(CONCATENATE($J$4,"-",C16),'CONDICIONES BANCARIAS'!$B$19:$E$58,4,0))</f>
        <v>0.04</v>
      </c>
      <c r="J16" s="87">
        <f>IF(I16="","",MAX(D16*I16,VLOOKUP(CONCATENATE($J$4,"-","Mínimo"),'CONDICIONES BANCARIAS'!$B$19:$E$58,4,0)))</f>
        <v>120</v>
      </c>
      <c r="K16" s="87">
        <f>IF(E16="","",VLOOKUP($J$4,'CONDICIONES BANCARIAS'!$B$117:$D$126,3,0))</f>
        <v>4</v>
      </c>
      <c r="L16" s="88">
        <f t="shared" si="1"/>
        <v>8.41</v>
      </c>
      <c r="M16" s="88">
        <f t="shared" si="3"/>
        <v>187.07666666666665</v>
      </c>
    </row>
    <row r="17" spans="1:15" ht="19.5" customHeight="1" x14ac:dyDescent="0.25">
      <c r="A17" s="10"/>
      <c r="B17" s="64" t="str">
        <f>IF(COUNTA(C17:E17)=0,"",MAX(B$13:B16)+1)</f>
        <v/>
      </c>
      <c r="C17" s="12"/>
      <c r="D17" s="13"/>
      <c r="E17" s="14"/>
      <c r="F17" s="84" t="str">
        <f t="shared" si="0"/>
        <v/>
      </c>
      <c r="G17" s="85" t="str">
        <f>IF(E17="","",VLOOKUP(CONCATENATE($J$4,"-",REPT("0",3-LEN(F17)),F17),'CONDICIONES BANCARIAS'!$B$63:$E$112,4,1))</f>
        <v/>
      </c>
      <c r="H17" s="87" t="str">
        <f t="shared" si="2"/>
        <v/>
      </c>
      <c r="I17" s="86" t="str">
        <f>IF(E17="","",VLOOKUP(CONCATENATE($J$4,"-",C17),'CONDICIONES BANCARIAS'!$B$19:$E$58,4,0))</f>
        <v/>
      </c>
      <c r="J17" s="87" t="str">
        <f>IF(I17="","",MAX(D17*I17,VLOOKUP(CONCATENATE($J$4,"-","Mínimo"),'CONDICIONES BANCARIAS'!$B$19:$E$58,4,0)))</f>
        <v/>
      </c>
      <c r="K17" s="87" t="str">
        <f>IF(E17="","",VLOOKUP($J$4,'CONDICIONES BANCARIAS'!$B$117:$D$126,3,0))</f>
        <v/>
      </c>
      <c r="L17" s="88" t="str">
        <f t="shared" si="1"/>
        <v/>
      </c>
      <c r="M17" s="88" t="str">
        <f t="shared" si="3"/>
        <v/>
      </c>
    </row>
    <row r="18" spans="1:15" ht="19.5" customHeight="1" x14ac:dyDescent="0.25">
      <c r="A18" s="10"/>
      <c r="B18" s="64" t="str">
        <f>IF(COUNTA(C18:E18)=0,"",MAX(B$13:B17)+1)</f>
        <v/>
      </c>
      <c r="C18" s="12"/>
      <c r="D18" s="13"/>
      <c r="E18" s="14"/>
      <c r="F18" s="84" t="str">
        <f t="shared" si="0"/>
        <v/>
      </c>
      <c r="G18" s="85" t="str">
        <f>IF(E18="","",VLOOKUP(CONCATENATE($J$4,"-",REPT("0",3-LEN(F18)),F18),'CONDICIONES BANCARIAS'!$B$63:$E$112,4,1))</f>
        <v/>
      </c>
      <c r="H18" s="87" t="str">
        <f t="shared" si="2"/>
        <v/>
      </c>
      <c r="I18" s="86" t="str">
        <f>IF(E18="","",VLOOKUP(CONCATENATE($J$4,"-",C18),'CONDICIONES BANCARIAS'!$B$19:$E$58,4,0))</f>
        <v/>
      </c>
      <c r="J18" s="87" t="str">
        <f>IF(I18="","",MAX(D18*I18,VLOOKUP(CONCATENATE($J$4,"-","Mínimo"),'CONDICIONES BANCARIAS'!$B$19:$E$58,4,0)))</f>
        <v/>
      </c>
      <c r="K18" s="87" t="str">
        <f>IF(E18="","",VLOOKUP($J$4,'CONDICIONES BANCARIAS'!$B$117:$D$126,3,0))</f>
        <v/>
      </c>
      <c r="L18" s="88" t="str">
        <f t="shared" si="1"/>
        <v/>
      </c>
      <c r="M18" s="88" t="str">
        <f t="shared" si="3"/>
        <v/>
      </c>
    </row>
    <row r="19" spans="1:15" ht="19.5" customHeight="1" x14ac:dyDescent="0.25">
      <c r="A19" s="10"/>
      <c r="B19" s="64" t="str">
        <f>IF(COUNTA(C19:E19)=0,"",MAX(B$13:B18)+1)</f>
        <v/>
      </c>
      <c r="C19" s="12"/>
      <c r="D19" s="13"/>
      <c r="E19" s="14"/>
      <c r="F19" s="84" t="str">
        <f t="shared" si="0"/>
        <v/>
      </c>
      <c r="G19" s="85" t="str">
        <f>IF(E19="","",VLOOKUP(CONCATENATE($J$4,"-",REPT("0",3-LEN(F19)),F19),'CONDICIONES BANCARIAS'!$B$63:$E$112,4,1))</f>
        <v/>
      </c>
      <c r="H19" s="87" t="str">
        <f t="shared" si="2"/>
        <v/>
      </c>
      <c r="I19" s="86" t="str">
        <f>IF(E19="","",VLOOKUP(CONCATENATE($J$4,"-",C19),'CONDICIONES BANCARIAS'!$B$19:$E$58,4,0))</f>
        <v/>
      </c>
      <c r="J19" s="87" t="str">
        <f>IF(I19="","",MAX(D19*I19,VLOOKUP(CONCATENATE($J$4,"-","Mínimo"),'CONDICIONES BANCARIAS'!$B$19:$E$58,4,0)))</f>
        <v/>
      </c>
      <c r="K19" s="87" t="str">
        <f>IF(E19="","",VLOOKUP($J$4,'CONDICIONES BANCARIAS'!$B$117:$D$126,3,0))</f>
        <v/>
      </c>
      <c r="L19" s="88" t="str">
        <f t="shared" si="1"/>
        <v/>
      </c>
      <c r="M19" s="88" t="str">
        <f t="shared" si="3"/>
        <v/>
      </c>
    </row>
    <row r="20" spans="1:15" ht="19.5" customHeight="1" x14ac:dyDescent="0.25">
      <c r="A20" s="10"/>
      <c r="B20" s="64" t="str">
        <f>IF(COUNTA(C20:E20)=0,"",MAX(B$13:B19)+1)</f>
        <v/>
      </c>
      <c r="C20" s="12"/>
      <c r="D20" s="13"/>
      <c r="E20" s="14"/>
      <c r="F20" s="84" t="str">
        <f t="shared" si="0"/>
        <v/>
      </c>
      <c r="G20" s="85" t="str">
        <f>IF(E20="","",VLOOKUP(CONCATENATE($J$4,"-",REPT("0",3-LEN(F20)),F20),'CONDICIONES BANCARIAS'!$B$63:$E$112,4,1))</f>
        <v/>
      </c>
      <c r="H20" s="87" t="str">
        <f t="shared" si="2"/>
        <v/>
      </c>
      <c r="I20" s="86" t="str">
        <f>IF(E20="","",VLOOKUP(CONCATENATE($J$4,"-",C20),'CONDICIONES BANCARIAS'!$B$19:$E$58,4,0))</f>
        <v/>
      </c>
      <c r="J20" s="87" t="str">
        <f>IF(I20="","",MAX(D20*I20,VLOOKUP(CONCATENATE($J$4,"-","Mínimo"),'CONDICIONES BANCARIAS'!$B$19:$E$58,4,0)))</f>
        <v/>
      </c>
      <c r="K20" s="87" t="str">
        <f>IF(E20="","",VLOOKUP($J$4,'CONDICIONES BANCARIAS'!$B$117:$D$126,3,0))</f>
        <v/>
      </c>
      <c r="L20" s="88" t="str">
        <f t="shared" si="1"/>
        <v/>
      </c>
      <c r="M20" s="88" t="str">
        <f t="shared" si="3"/>
        <v/>
      </c>
    </row>
    <row r="21" spans="1:15" ht="19.5" customHeight="1" x14ac:dyDescent="0.25">
      <c r="A21" s="10"/>
      <c r="B21" s="64" t="str">
        <f>IF(COUNTA(C21:E21)=0,"",MAX(B$13:B20)+1)</f>
        <v/>
      </c>
      <c r="C21" s="12"/>
      <c r="D21" s="13"/>
      <c r="E21" s="14"/>
      <c r="F21" s="84" t="str">
        <f t="shared" si="0"/>
        <v/>
      </c>
      <c r="G21" s="85" t="str">
        <f>IF(E21="","",VLOOKUP(CONCATENATE($J$4,"-",REPT("0",3-LEN(F21)),F21),'CONDICIONES BANCARIAS'!$B$63:$E$112,4,1))</f>
        <v/>
      </c>
      <c r="H21" s="87" t="str">
        <f t="shared" si="2"/>
        <v/>
      </c>
      <c r="I21" s="86" t="str">
        <f>IF(E21="","",VLOOKUP(CONCATENATE($J$4,"-",C21),'CONDICIONES BANCARIAS'!$B$19:$E$58,4,0))</f>
        <v/>
      </c>
      <c r="J21" s="87" t="str">
        <f>IF(I21="","",MAX(D21*I21,VLOOKUP(CONCATENATE($J$4,"-","Mínimo"),'CONDICIONES BANCARIAS'!$B$19:$E$58,4,0)))</f>
        <v/>
      </c>
      <c r="K21" s="87" t="str">
        <f>IF(E21="","",VLOOKUP($J$4,'CONDICIONES BANCARIAS'!$B$117:$D$126,3,0))</f>
        <v/>
      </c>
      <c r="L21" s="88" t="str">
        <f t="shared" si="1"/>
        <v/>
      </c>
      <c r="M21" s="88" t="str">
        <f t="shared" si="3"/>
        <v/>
      </c>
    </row>
    <row r="22" spans="1:15" ht="19.5" customHeight="1" x14ac:dyDescent="0.25">
      <c r="A22" s="10"/>
      <c r="B22" s="64" t="str">
        <f>IF(COUNTA(C22:E22)=0,"",MAX(B$13:B21)+1)</f>
        <v/>
      </c>
      <c r="C22" s="12"/>
      <c r="D22" s="13"/>
      <c r="E22" s="14"/>
      <c r="F22" s="84" t="str">
        <f t="shared" si="0"/>
        <v/>
      </c>
      <c r="G22" s="85" t="str">
        <f>IF(E22="","",VLOOKUP(CONCATENATE($J$4,"-",REPT("0",3-LEN(F22)),F22),'CONDICIONES BANCARIAS'!$B$63:$E$112,4,1))</f>
        <v/>
      </c>
      <c r="H22" s="87" t="str">
        <f t="shared" si="2"/>
        <v/>
      </c>
      <c r="I22" s="86" t="str">
        <f>IF(E22="","",VLOOKUP(CONCATENATE($J$4,"-",C22),'CONDICIONES BANCARIAS'!$B$19:$E$58,4,0))</f>
        <v/>
      </c>
      <c r="J22" s="87" t="str">
        <f>IF(I22="","",MAX(D22*I22,VLOOKUP(CONCATENATE($J$4,"-","Mínimo"),'CONDICIONES BANCARIAS'!$B$19:$E$58,4,0)))</f>
        <v/>
      </c>
      <c r="K22" s="87" t="str">
        <f>IF(E22="","",VLOOKUP($J$4,'CONDICIONES BANCARIAS'!$B$117:$D$126,3,0))</f>
        <v/>
      </c>
      <c r="L22" s="88" t="str">
        <f t="shared" si="1"/>
        <v/>
      </c>
      <c r="M22" s="88" t="str">
        <f t="shared" si="3"/>
        <v/>
      </c>
    </row>
    <row r="23" spans="1:15" ht="19.5" customHeight="1" x14ac:dyDescent="0.25">
      <c r="A23" s="10"/>
      <c r="B23" s="64" t="str">
        <f>IF(COUNTA(C23:E23)=0,"",MAX(B$13:B22)+1)</f>
        <v/>
      </c>
      <c r="C23" s="12"/>
      <c r="D23" s="13"/>
      <c r="E23" s="14"/>
      <c r="F23" s="84" t="str">
        <f t="shared" si="0"/>
        <v/>
      </c>
      <c r="G23" s="85" t="str">
        <f>IF(E23="","",VLOOKUP(CONCATENATE($J$4,"-",REPT("0",3-LEN(F23)),F23),'CONDICIONES BANCARIAS'!$B$63:$E$112,4,1))</f>
        <v/>
      </c>
      <c r="H23" s="87" t="str">
        <f t="shared" si="2"/>
        <v/>
      </c>
      <c r="I23" s="86" t="str">
        <f>IF(E23="","",VLOOKUP(CONCATENATE($J$4,"-",C23),'CONDICIONES BANCARIAS'!$B$19:$E$58,4,0))</f>
        <v/>
      </c>
      <c r="J23" s="87" t="str">
        <f>IF(I23="","",MAX(D23*I23,VLOOKUP(CONCATENATE($J$4,"-","Mínimo"),'CONDICIONES BANCARIAS'!$B$19:$E$58,4,0)))</f>
        <v/>
      </c>
      <c r="K23" s="87" t="str">
        <f>IF(E23="","",VLOOKUP($J$4,'CONDICIONES BANCARIAS'!$B$117:$D$126,3,0))</f>
        <v/>
      </c>
      <c r="L23" s="88" t="str">
        <f t="shared" si="1"/>
        <v/>
      </c>
      <c r="M23" s="88" t="str">
        <f t="shared" si="3"/>
        <v/>
      </c>
    </row>
    <row r="24" spans="1:15" ht="19.5" customHeight="1" x14ac:dyDescent="0.25">
      <c r="A24" s="10"/>
      <c r="B24" s="64" t="str">
        <f>IF(COUNTA(C24:E24)=0,"",MAX(B$13:B23)+1)</f>
        <v/>
      </c>
      <c r="C24" s="12"/>
      <c r="D24" s="13"/>
      <c r="E24" s="14"/>
      <c r="F24" s="84" t="str">
        <f t="shared" si="0"/>
        <v/>
      </c>
      <c r="G24" s="85" t="str">
        <f>IF(E24="","",VLOOKUP(CONCATENATE($J$4,"-",REPT("0",3-LEN(F24)),F24),'CONDICIONES BANCARIAS'!$B$63:$E$112,4,1))</f>
        <v/>
      </c>
      <c r="H24" s="87" t="str">
        <f t="shared" si="2"/>
        <v/>
      </c>
      <c r="I24" s="86" t="str">
        <f>IF(E24="","",VLOOKUP(CONCATENATE($J$4,"-",C24),'CONDICIONES BANCARIAS'!$B$19:$E$58,4,0))</f>
        <v/>
      </c>
      <c r="J24" s="87" t="str">
        <f>IF(I24="","",MAX(D24*I24,VLOOKUP(CONCATENATE($J$4,"-","Mínimo"),'CONDICIONES BANCARIAS'!$B$19:$E$58,4,0)))</f>
        <v/>
      </c>
      <c r="K24" s="87" t="str">
        <f>IF(E24="","",VLOOKUP($J$4,'CONDICIONES BANCARIAS'!$B$117:$D$126,3,0))</f>
        <v/>
      </c>
      <c r="L24" s="88" t="str">
        <f t="shared" si="1"/>
        <v/>
      </c>
      <c r="M24" s="88" t="str">
        <f t="shared" si="3"/>
        <v/>
      </c>
      <c r="O24" s="118"/>
    </row>
    <row r="25" spans="1:15" ht="19.5" customHeight="1" x14ac:dyDescent="0.25">
      <c r="A25" s="10"/>
      <c r="B25" s="64" t="str">
        <f>IF(COUNTA(C25:E25)=0,"",MAX(B$13:B24)+1)</f>
        <v/>
      </c>
      <c r="C25" s="12"/>
      <c r="D25" s="13"/>
      <c r="E25" s="14"/>
      <c r="F25" s="84" t="str">
        <f t="shared" si="0"/>
        <v/>
      </c>
      <c r="G25" s="85" t="str">
        <f>IF(E25="","",VLOOKUP(CONCATENATE($J$4,"-",REPT("0",3-LEN(F25)),F25),'CONDICIONES BANCARIAS'!$B$63:$E$112,4,1))</f>
        <v/>
      </c>
      <c r="H25" s="87" t="str">
        <f t="shared" si="2"/>
        <v/>
      </c>
      <c r="I25" s="86" t="str">
        <f>IF(E25="","",VLOOKUP(CONCATENATE($J$4,"-",C25),'CONDICIONES BANCARIAS'!$B$19:$E$58,4,0))</f>
        <v/>
      </c>
      <c r="J25" s="87" t="str">
        <f>IF(I25="","",MAX(D25*I25,VLOOKUP(CONCATENATE($J$4,"-","Mínimo"),'CONDICIONES BANCARIAS'!$B$19:$E$58,4,0)))</f>
        <v/>
      </c>
      <c r="K25" s="87" t="str">
        <f>IF(E25="","",VLOOKUP($J$4,'CONDICIONES BANCARIAS'!$B$117:$D$126,3,0))</f>
        <v/>
      </c>
      <c r="L25" s="88" t="str">
        <f t="shared" si="1"/>
        <v/>
      </c>
      <c r="M25" s="88" t="str">
        <f t="shared" si="3"/>
        <v/>
      </c>
    </row>
    <row r="26" spans="1:15" ht="19.5" customHeight="1" x14ac:dyDescent="0.25">
      <c r="A26" s="10"/>
      <c r="B26" s="64" t="str">
        <f>IF(COUNTA(C26:E26)=0,"",MAX(B$13:B25)+1)</f>
        <v/>
      </c>
      <c r="C26" s="12"/>
      <c r="D26" s="13"/>
      <c r="E26" s="14"/>
      <c r="F26" s="84" t="str">
        <f t="shared" si="0"/>
        <v/>
      </c>
      <c r="G26" s="85" t="str">
        <f>IF(E26="","",VLOOKUP(CONCATENATE($J$4,"-",REPT("0",3-LEN(F26)),F26),'CONDICIONES BANCARIAS'!$B$63:$E$112,4,1))</f>
        <v/>
      </c>
      <c r="H26" s="87" t="str">
        <f t="shared" si="2"/>
        <v/>
      </c>
      <c r="I26" s="86" t="str">
        <f>IF(E26="","",VLOOKUP(CONCATENATE($J$4,"-",C26),'CONDICIONES BANCARIAS'!$B$19:$E$58,4,0))</f>
        <v/>
      </c>
      <c r="J26" s="87" t="str">
        <f>IF(I26="","",MAX(D26*I26,VLOOKUP(CONCATENATE($J$4,"-","Mínimo"),'CONDICIONES BANCARIAS'!$B$19:$E$58,4,0)))</f>
        <v/>
      </c>
      <c r="K26" s="87" t="str">
        <f>IF(E26="","",VLOOKUP($J$4,'CONDICIONES BANCARIAS'!$B$117:$D$126,3,0))</f>
        <v/>
      </c>
      <c r="L26" s="88" t="str">
        <f t="shared" si="1"/>
        <v/>
      </c>
      <c r="M26" s="88" t="str">
        <f t="shared" si="3"/>
        <v/>
      </c>
    </row>
    <row r="27" spans="1:15" ht="19.5" customHeight="1" x14ac:dyDescent="0.25">
      <c r="A27" s="10"/>
      <c r="B27" s="64" t="str">
        <f>IF(COUNTA(C27:E27)=0,"",MAX(B$13:B26)+1)</f>
        <v/>
      </c>
      <c r="C27" s="12"/>
      <c r="D27" s="13"/>
      <c r="E27" s="14"/>
      <c r="F27" s="84" t="str">
        <f t="shared" si="0"/>
        <v/>
      </c>
      <c r="G27" s="85" t="str">
        <f>IF(E27="","",VLOOKUP(CONCATENATE($J$4,"-",REPT("0",3-LEN(F27)),F27),'CONDICIONES BANCARIAS'!$B$63:$E$112,4,1))</f>
        <v/>
      </c>
      <c r="H27" s="87" t="str">
        <f t="shared" si="2"/>
        <v/>
      </c>
      <c r="I27" s="86" t="str">
        <f>IF(E27="","",VLOOKUP(CONCATENATE($J$4,"-",C27),'CONDICIONES BANCARIAS'!$B$19:$E$58,4,0))</f>
        <v/>
      </c>
      <c r="J27" s="87" t="str">
        <f>IF(I27="","",MAX(D27*I27,VLOOKUP(CONCATENATE($J$4,"-","Mínimo"),'CONDICIONES BANCARIAS'!$B$19:$E$58,4,0)))</f>
        <v/>
      </c>
      <c r="K27" s="87" t="str">
        <f>IF(E27="","",VLOOKUP($J$4,'CONDICIONES BANCARIAS'!$B$117:$D$126,3,0))</f>
        <v/>
      </c>
      <c r="L27" s="88" t="str">
        <f t="shared" si="1"/>
        <v/>
      </c>
      <c r="M27" s="88" t="str">
        <f t="shared" si="3"/>
        <v/>
      </c>
    </row>
    <row r="28" spans="1:15" ht="19.5" customHeight="1" thickBot="1" x14ac:dyDescent="0.3">
      <c r="A28" s="10"/>
      <c r="B28" s="65" t="str">
        <f>IF(COUNTA(C28:E28)=0,"",MAX(B$13:B27)+1)</f>
        <v/>
      </c>
      <c r="C28" s="37"/>
      <c r="D28" s="38"/>
      <c r="E28" s="39"/>
      <c r="F28" s="89" t="str">
        <f t="shared" si="0"/>
        <v/>
      </c>
      <c r="G28" s="90" t="str">
        <f>IF(E28="","",VLOOKUP(CONCATENATE($J$4,"-",REPT("0",3-LEN(F28)),F28),'CONDICIONES BANCARIAS'!$B$63:$E$112,4,1))</f>
        <v/>
      </c>
      <c r="H28" s="92" t="str">
        <f t="shared" si="2"/>
        <v/>
      </c>
      <c r="I28" s="91" t="str">
        <f>IF(E28="","",VLOOKUP(CONCATENATE($J$4,"-",C28),'CONDICIONES BANCARIAS'!$B$19:$E$58,4,0))</f>
        <v/>
      </c>
      <c r="J28" s="92" t="str">
        <f>IF(I28="","",MAX(D28*I28,VLOOKUP(CONCATENATE($J$4,"-","Mínimo"),'CONDICIONES BANCARIAS'!$B$19:$E$58,4,0)))</f>
        <v/>
      </c>
      <c r="K28" s="92" t="str">
        <f>IF(E28="","",VLOOKUP($J$4,'CONDICIONES BANCARIAS'!$B$117:$D$126,3,0))</f>
        <v/>
      </c>
      <c r="L28" s="93" t="str">
        <f t="shared" si="1"/>
        <v/>
      </c>
      <c r="M28" s="93" t="str">
        <f t="shared" si="3"/>
        <v/>
      </c>
    </row>
    <row r="31" spans="1:15" ht="15.75" x14ac:dyDescent="0.25">
      <c r="H31" s="11"/>
    </row>
  </sheetData>
  <sheetProtection algorithmName="SHA-512" hashValue="AdIIjcDjcdAME8xi/a4n0yfvpkcS5nLkUjECQnqLYFy2fu5kKKzBGvdLj5c3N+jPBtMmeC0VI0OJqlfISaeyvg==" saltValue="U02scvLhq99XbPLQFQC/pw==" spinCount="100000" sheet="1" objects="1" scenarios="1"/>
  <mergeCells count="1">
    <mergeCell ref="J4:L4"/>
  </mergeCells>
  <phoneticPr fontId="0" type="noConversion"/>
  <conditionalFormatting sqref="J14:J28">
    <cfRule type="cellIs" dxfId="0" priority="1" operator="equal">
      <formula>3</formula>
    </cfRule>
  </conditionalFormatting>
  <dataValidations count="2">
    <dataValidation type="list" allowBlank="1" showInputMessage="1" showErrorMessage="1" sqref="C14:C28">
      <formula1>"d,dna,nd"</formula1>
    </dataValidation>
    <dataValidation type="list" allowBlank="1" showInputMessage="1" showErrorMessage="1" sqref="J4:L4">
      <formula1>ENTIDADES</formula1>
    </dataValidation>
  </dataValidations>
  <pageMargins left="0" right="0" top="0.74803149606299213" bottom="0.74803149606299213" header="0.31496062992125984" footer="0.31496062992125984"/>
  <pageSetup paperSize="9" scale="9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4" r:id="rId4" name="Button 20">
              <controlPr defaultSize="0" print="0" autoFill="0" autoPict="0" macro="[0]!LIMPIAR">
                <anchor moveWithCells="1" sizeWithCells="1">
                  <from>
                    <xdr:col>5</xdr:col>
                    <xdr:colOff>114300</xdr:colOff>
                    <xdr:row>4</xdr:row>
                    <xdr:rowOff>47625</xdr:rowOff>
                  </from>
                  <to>
                    <xdr:col>6</xdr:col>
                    <xdr:colOff>76200</xdr:colOff>
                    <xdr:row>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G128"/>
  <sheetViews>
    <sheetView showGridLines="0" zoomScale="115" zoomScaleNormal="115" workbookViewId="0">
      <selection activeCell="C126" sqref="C126:D126"/>
    </sheetView>
  </sheetViews>
  <sheetFormatPr baseColWidth="10" defaultRowHeight="15" outlineLevelRow="1" x14ac:dyDescent="0.25"/>
  <cols>
    <col min="1" max="1" width="2.28515625" style="3" customWidth="1"/>
    <col min="2" max="2" width="21.85546875" style="3" customWidth="1"/>
    <col min="3" max="3" width="22" style="3" bestFit="1" customWidth="1"/>
    <col min="4" max="5" width="19.7109375" style="3" customWidth="1"/>
    <col min="6" max="6" width="4" style="3" customWidth="1"/>
    <col min="7" max="16384" width="11.42578125" style="3"/>
  </cols>
  <sheetData>
    <row r="1" spans="2:5" ht="9" customHeight="1" thickBot="1" x14ac:dyDescent="0.3"/>
    <row r="2" spans="2:5" ht="41.25" customHeight="1" thickBot="1" x14ac:dyDescent="0.3">
      <c r="B2" s="94" t="s">
        <v>36</v>
      </c>
      <c r="C2" s="57"/>
      <c r="D2" s="57"/>
      <c r="E2" s="58"/>
    </row>
    <row r="3" spans="2:5" ht="9.75" customHeight="1" thickBot="1" x14ac:dyDescent="0.3"/>
    <row r="4" spans="2:5" ht="31.5" customHeight="1" thickBot="1" x14ac:dyDescent="0.3">
      <c r="B4" s="109" t="s">
        <v>48</v>
      </c>
      <c r="C4" s="110"/>
      <c r="D4" s="110"/>
      <c r="E4" s="111"/>
    </row>
    <row r="5" spans="2:5" ht="15.75" outlineLevel="1" thickBot="1" x14ac:dyDescent="0.3">
      <c r="C5" s="108" t="s">
        <v>34</v>
      </c>
    </row>
    <row r="6" spans="2:5" outlineLevel="1" x14ac:dyDescent="0.25">
      <c r="C6" s="106" t="s">
        <v>51</v>
      </c>
    </row>
    <row r="7" spans="2:5" outlineLevel="1" x14ac:dyDescent="0.25">
      <c r="C7" s="106" t="s">
        <v>52</v>
      </c>
    </row>
    <row r="8" spans="2:5" outlineLevel="1" x14ac:dyDescent="0.25">
      <c r="C8" s="106" t="s">
        <v>53</v>
      </c>
    </row>
    <row r="9" spans="2:5" outlineLevel="1" x14ac:dyDescent="0.25">
      <c r="C9" s="106" t="s">
        <v>54</v>
      </c>
    </row>
    <row r="10" spans="2:5" outlineLevel="1" x14ac:dyDescent="0.25">
      <c r="C10" s="106" t="s">
        <v>55</v>
      </c>
    </row>
    <row r="11" spans="2:5" outlineLevel="1" x14ac:dyDescent="0.25">
      <c r="C11" s="106" t="s">
        <v>56</v>
      </c>
    </row>
    <row r="12" spans="2:5" outlineLevel="1" x14ac:dyDescent="0.25">
      <c r="C12" s="106" t="s">
        <v>57</v>
      </c>
    </row>
    <row r="13" spans="2:5" outlineLevel="1" x14ac:dyDescent="0.25">
      <c r="C13" s="106" t="s">
        <v>58</v>
      </c>
    </row>
    <row r="14" spans="2:5" outlineLevel="1" x14ac:dyDescent="0.25">
      <c r="C14" s="106" t="s">
        <v>59</v>
      </c>
    </row>
    <row r="15" spans="2:5" ht="15.75" outlineLevel="1" thickBot="1" x14ac:dyDescent="0.3">
      <c r="C15" s="107"/>
    </row>
    <row r="16" spans="2:5" ht="16.5" customHeight="1" thickBot="1" x14ac:dyDescent="0.3"/>
    <row r="17" spans="1:7" ht="31.5" customHeight="1" thickBot="1" x14ac:dyDescent="0.3">
      <c r="B17" s="66" t="s">
        <v>37</v>
      </c>
      <c r="C17" s="59"/>
      <c r="D17" s="59"/>
      <c r="E17" s="60"/>
    </row>
    <row r="18" spans="1:7" ht="19.5" outlineLevel="1" thickBot="1" x14ac:dyDescent="0.3">
      <c r="A18" s="10"/>
      <c r="B18" s="103" t="s">
        <v>10</v>
      </c>
      <c r="C18" s="104" t="s">
        <v>34</v>
      </c>
      <c r="D18" s="104" t="s">
        <v>35</v>
      </c>
      <c r="E18" s="105" t="s">
        <v>11</v>
      </c>
    </row>
    <row r="19" spans="1:7" outlineLevel="1" x14ac:dyDescent="0.25">
      <c r="B19" s="49" t="str">
        <f>IF(C19="","Z",CONCATENATE(C19,"-",D19))</f>
        <v>BCO1 (CAIXA POPULAR)-d</v>
      </c>
      <c r="C19" s="6" t="s">
        <v>51</v>
      </c>
      <c r="D19" s="43" t="s">
        <v>12</v>
      </c>
      <c r="E19" s="44">
        <v>0.01</v>
      </c>
      <c r="G19" s="47" t="s">
        <v>18</v>
      </c>
    </row>
    <row r="20" spans="1:7" outlineLevel="1" x14ac:dyDescent="0.25">
      <c r="B20" s="50" t="str">
        <f t="shared" ref="B20:B58" si="0">IF(C20="","Z",CONCATENATE(C20,"-",D20))</f>
        <v>BCO1 (CAIXA POPULAR)-dna</v>
      </c>
      <c r="C20" s="6" t="s">
        <v>51</v>
      </c>
      <c r="D20" s="43" t="s">
        <v>13</v>
      </c>
      <c r="E20" s="44">
        <v>0.01</v>
      </c>
      <c r="G20" s="47" t="s">
        <v>19</v>
      </c>
    </row>
    <row r="21" spans="1:7" outlineLevel="1" x14ac:dyDescent="0.25">
      <c r="B21" s="50" t="str">
        <f t="shared" si="0"/>
        <v>BCO1 (CAIXA POPULAR)-nd</v>
      </c>
      <c r="C21" s="6" t="s">
        <v>51</v>
      </c>
      <c r="D21" s="43" t="s">
        <v>14</v>
      </c>
      <c r="E21" s="45">
        <v>0.01</v>
      </c>
      <c r="G21" s="47" t="s">
        <v>20</v>
      </c>
    </row>
    <row r="22" spans="1:7" ht="15.75" outlineLevel="1" thickBot="1" x14ac:dyDescent="0.3">
      <c r="B22" s="50" t="str">
        <f t="shared" si="0"/>
        <v>BCO1 (CAIXA POPULAR)-Mínimo</v>
      </c>
      <c r="C22" s="48" t="s">
        <v>51</v>
      </c>
      <c r="D22" s="7" t="s">
        <v>15</v>
      </c>
      <c r="E22" s="46">
        <v>1</v>
      </c>
    </row>
    <row r="23" spans="1:7" outlineLevel="1" x14ac:dyDescent="0.25">
      <c r="B23" s="50" t="str">
        <f t="shared" si="0"/>
        <v>BCO2 (POPULAR)-d</v>
      </c>
      <c r="C23" s="6" t="s">
        <v>52</v>
      </c>
      <c r="D23" s="43" t="s">
        <v>12</v>
      </c>
      <c r="E23" s="45">
        <v>0.02</v>
      </c>
    </row>
    <row r="24" spans="1:7" outlineLevel="1" x14ac:dyDescent="0.25">
      <c r="B24" s="50" t="str">
        <f t="shared" si="0"/>
        <v>BCO2 (POPULAR)-dna</v>
      </c>
      <c r="C24" s="6" t="s">
        <v>52</v>
      </c>
      <c r="D24" s="43" t="s">
        <v>13</v>
      </c>
      <c r="E24" s="44">
        <v>0.02</v>
      </c>
    </row>
    <row r="25" spans="1:7" outlineLevel="1" x14ac:dyDescent="0.25">
      <c r="B25" s="50" t="str">
        <f t="shared" si="0"/>
        <v>BCO2 (POPULAR)-nd</v>
      </c>
      <c r="C25" s="6" t="s">
        <v>52</v>
      </c>
      <c r="D25" s="43" t="s">
        <v>14</v>
      </c>
      <c r="E25" s="45">
        <v>0.02</v>
      </c>
    </row>
    <row r="26" spans="1:7" ht="15.75" outlineLevel="1" thickBot="1" x14ac:dyDescent="0.3">
      <c r="B26" s="50" t="str">
        <f t="shared" si="0"/>
        <v>BCO2 (POPULAR)-Mínimo</v>
      </c>
      <c r="C26" s="48" t="s">
        <v>52</v>
      </c>
      <c r="D26" s="7" t="s">
        <v>15</v>
      </c>
      <c r="E26" s="46">
        <v>2</v>
      </c>
    </row>
    <row r="27" spans="1:7" outlineLevel="1" x14ac:dyDescent="0.25">
      <c r="B27" s="50" t="str">
        <f t="shared" si="0"/>
        <v>BCO3 (BANKINTER)-d</v>
      </c>
      <c r="C27" s="6" t="s">
        <v>53</v>
      </c>
      <c r="D27" s="43" t="s">
        <v>12</v>
      </c>
      <c r="E27" s="45">
        <v>0.03</v>
      </c>
    </row>
    <row r="28" spans="1:7" outlineLevel="1" x14ac:dyDescent="0.25">
      <c r="B28" s="50" t="str">
        <f t="shared" si="0"/>
        <v>BCO3 (BANKINTER)-dna</v>
      </c>
      <c r="C28" s="6" t="s">
        <v>53</v>
      </c>
      <c r="D28" s="43" t="s">
        <v>13</v>
      </c>
      <c r="E28" s="45">
        <v>0.03</v>
      </c>
    </row>
    <row r="29" spans="1:7" outlineLevel="1" x14ac:dyDescent="0.25">
      <c r="B29" s="50" t="str">
        <f t="shared" si="0"/>
        <v>BCO3 (BANKINTER)-nd</v>
      </c>
      <c r="C29" s="6" t="s">
        <v>53</v>
      </c>
      <c r="D29" s="43" t="s">
        <v>14</v>
      </c>
      <c r="E29" s="45">
        <v>0.03</v>
      </c>
    </row>
    <row r="30" spans="1:7" ht="15.75" outlineLevel="1" thickBot="1" x14ac:dyDescent="0.3">
      <c r="B30" s="50" t="str">
        <f t="shared" si="0"/>
        <v>BCO3 (BANKINTER)-Mínimo</v>
      </c>
      <c r="C30" s="48" t="s">
        <v>53</v>
      </c>
      <c r="D30" s="7" t="s">
        <v>15</v>
      </c>
      <c r="E30" s="46">
        <v>3</v>
      </c>
    </row>
    <row r="31" spans="1:7" outlineLevel="1" x14ac:dyDescent="0.25">
      <c r="B31" s="50" t="str">
        <f t="shared" si="0"/>
        <v>BCO4 (SABADELL)-d</v>
      </c>
      <c r="C31" s="6" t="s">
        <v>54</v>
      </c>
      <c r="D31" s="43" t="s">
        <v>12</v>
      </c>
      <c r="E31" s="45">
        <v>0.04</v>
      </c>
    </row>
    <row r="32" spans="1:7" outlineLevel="1" x14ac:dyDescent="0.25">
      <c r="B32" s="50" t="str">
        <f t="shared" si="0"/>
        <v>BCO4 (SABADELL)-dna</v>
      </c>
      <c r="C32" s="6" t="s">
        <v>54</v>
      </c>
      <c r="D32" s="43" t="s">
        <v>13</v>
      </c>
      <c r="E32" s="45">
        <v>0.04</v>
      </c>
    </row>
    <row r="33" spans="2:5" outlineLevel="1" x14ac:dyDescent="0.25">
      <c r="B33" s="50" t="str">
        <f t="shared" si="0"/>
        <v>BCO4 (SABADELL)-nd</v>
      </c>
      <c r="C33" s="6" t="s">
        <v>54</v>
      </c>
      <c r="D33" s="43" t="s">
        <v>14</v>
      </c>
      <c r="E33" s="45">
        <v>0.04</v>
      </c>
    </row>
    <row r="34" spans="2:5" ht="15.75" outlineLevel="1" thickBot="1" x14ac:dyDescent="0.3">
      <c r="B34" s="50" t="str">
        <f t="shared" si="0"/>
        <v>BCO4 (SABADELL)-Mínimo</v>
      </c>
      <c r="C34" s="126" t="s">
        <v>54</v>
      </c>
      <c r="D34" s="7" t="s">
        <v>15</v>
      </c>
      <c r="E34" s="46">
        <v>4</v>
      </c>
    </row>
    <row r="35" spans="2:5" outlineLevel="1" x14ac:dyDescent="0.25">
      <c r="B35" s="50" t="str">
        <f t="shared" si="0"/>
        <v>BCO5 (SANTANDER)-d</v>
      </c>
      <c r="C35" s="6" t="s">
        <v>55</v>
      </c>
      <c r="D35" s="43" t="s">
        <v>12</v>
      </c>
      <c r="E35" s="45">
        <v>0.05</v>
      </c>
    </row>
    <row r="36" spans="2:5" outlineLevel="1" x14ac:dyDescent="0.25">
      <c r="B36" s="50" t="str">
        <f t="shared" si="0"/>
        <v>BCO5 (SANTANDER)-dna</v>
      </c>
      <c r="C36" s="6" t="s">
        <v>55</v>
      </c>
      <c r="D36" s="43" t="s">
        <v>13</v>
      </c>
      <c r="E36" s="45">
        <v>0.05</v>
      </c>
    </row>
    <row r="37" spans="2:5" outlineLevel="1" x14ac:dyDescent="0.25">
      <c r="B37" s="50" t="str">
        <f t="shared" si="0"/>
        <v>BCO5 (SANTANDER)-nd</v>
      </c>
      <c r="C37" s="6" t="s">
        <v>55</v>
      </c>
      <c r="D37" s="43" t="s">
        <v>14</v>
      </c>
      <c r="E37" s="45">
        <v>0.05</v>
      </c>
    </row>
    <row r="38" spans="2:5" ht="15.75" outlineLevel="1" thickBot="1" x14ac:dyDescent="0.3">
      <c r="B38" s="50" t="str">
        <f t="shared" si="0"/>
        <v>BCO5 (SANTANDER)-Mínimo</v>
      </c>
      <c r="C38" s="48" t="s">
        <v>55</v>
      </c>
      <c r="D38" s="7" t="s">
        <v>15</v>
      </c>
      <c r="E38" s="46">
        <v>5</v>
      </c>
    </row>
    <row r="39" spans="2:5" outlineLevel="1" x14ac:dyDescent="0.25">
      <c r="B39" s="50" t="str">
        <f t="shared" si="0"/>
        <v>BCO6 (BBVA)-d</v>
      </c>
      <c r="C39" s="6" t="s">
        <v>56</v>
      </c>
      <c r="D39" s="43" t="s">
        <v>12</v>
      </c>
      <c r="E39" s="45">
        <v>0.06</v>
      </c>
    </row>
    <row r="40" spans="2:5" outlineLevel="1" x14ac:dyDescent="0.25">
      <c r="B40" s="50" t="str">
        <f t="shared" si="0"/>
        <v>BCO6 (BBVA)-dna</v>
      </c>
      <c r="C40" s="6" t="s">
        <v>56</v>
      </c>
      <c r="D40" s="43" t="s">
        <v>13</v>
      </c>
      <c r="E40" s="45">
        <v>0.06</v>
      </c>
    </row>
    <row r="41" spans="2:5" outlineLevel="1" x14ac:dyDescent="0.25">
      <c r="B41" s="50" t="str">
        <f t="shared" si="0"/>
        <v>BCO6 (BBVA)-nd</v>
      </c>
      <c r="C41" s="6" t="s">
        <v>56</v>
      </c>
      <c r="D41" s="43" t="s">
        <v>14</v>
      </c>
      <c r="E41" s="45">
        <v>0.06</v>
      </c>
    </row>
    <row r="42" spans="2:5" ht="15.75" outlineLevel="1" thickBot="1" x14ac:dyDescent="0.3">
      <c r="B42" s="50" t="str">
        <f t="shared" si="0"/>
        <v>BCO6 (BBVA)-Mínimo</v>
      </c>
      <c r="C42" s="48" t="s">
        <v>56</v>
      </c>
      <c r="D42" s="7" t="s">
        <v>15</v>
      </c>
      <c r="E42" s="46">
        <v>6</v>
      </c>
    </row>
    <row r="43" spans="2:5" outlineLevel="1" x14ac:dyDescent="0.25">
      <c r="B43" s="50" t="str">
        <f t="shared" si="0"/>
        <v>BCO7 (IBERCAJA)-d</v>
      </c>
      <c r="C43" s="6" t="s">
        <v>57</v>
      </c>
      <c r="D43" s="43" t="s">
        <v>12</v>
      </c>
      <c r="E43" s="45">
        <v>7.0000000000000007E-2</v>
      </c>
    </row>
    <row r="44" spans="2:5" outlineLevel="1" x14ac:dyDescent="0.25">
      <c r="B44" s="50" t="str">
        <f t="shared" si="0"/>
        <v>BCO7 (IBERCAJA)-dna</v>
      </c>
      <c r="C44" s="6" t="s">
        <v>57</v>
      </c>
      <c r="D44" s="43" t="s">
        <v>13</v>
      </c>
      <c r="E44" s="45">
        <v>7.0000000000000007E-2</v>
      </c>
    </row>
    <row r="45" spans="2:5" outlineLevel="1" x14ac:dyDescent="0.25">
      <c r="B45" s="50" t="str">
        <f t="shared" si="0"/>
        <v>BCO7 (IBERCAJA)-nd</v>
      </c>
      <c r="C45" s="6" t="s">
        <v>57</v>
      </c>
      <c r="D45" s="43" t="s">
        <v>14</v>
      </c>
      <c r="E45" s="45">
        <v>7.0000000000000007E-2</v>
      </c>
    </row>
    <row r="46" spans="2:5" ht="15.75" outlineLevel="1" thickBot="1" x14ac:dyDescent="0.3">
      <c r="B46" s="50" t="str">
        <f t="shared" si="0"/>
        <v>BCO7 (IBERCAJA)-Mínimo</v>
      </c>
      <c r="C46" s="132" t="s">
        <v>57</v>
      </c>
      <c r="D46" s="7" t="s">
        <v>15</v>
      </c>
      <c r="E46" s="46">
        <v>7</v>
      </c>
    </row>
    <row r="47" spans="2:5" outlineLevel="1" x14ac:dyDescent="0.25">
      <c r="B47" s="50" t="str">
        <f t="shared" si="0"/>
        <v>BCO8 (MARCH)-d</v>
      </c>
      <c r="C47" s="6" t="s">
        <v>58</v>
      </c>
      <c r="D47" s="43" t="s">
        <v>12</v>
      </c>
      <c r="E47" s="45">
        <v>0.08</v>
      </c>
    </row>
    <row r="48" spans="2:5" outlineLevel="1" x14ac:dyDescent="0.25">
      <c r="B48" s="50" t="str">
        <f t="shared" si="0"/>
        <v>BCO8 (MARCH)-dna</v>
      </c>
      <c r="C48" s="6" t="s">
        <v>58</v>
      </c>
      <c r="D48" s="43" t="s">
        <v>13</v>
      </c>
      <c r="E48" s="45">
        <v>0.08</v>
      </c>
    </row>
    <row r="49" spans="2:5" outlineLevel="1" x14ac:dyDescent="0.25">
      <c r="B49" s="50" t="str">
        <f t="shared" si="0"/>
        <v>BCO8 (MARCH)-nd</v>
      </c>
      <c r="C49" s="6" t="s">
        <v>58</v>
      </c>
      <c r="D49" s="43" t="s">
        <v>14</v>
      </c>
      <c r="E49" s="45">
        <v>0.08</v>
      </c>
    </row>
    <row r="50" spans="2:5" ht="15.75" outlineLevel="1" thickBot="1" x14ac:dyDescent="0.3">
      <c r="B50" s="50" t="str">
        <f t="shared" si="0"/>
        <v>BCO8 (MARCH)-Mínimo</v>
      </c>
      <c r="C50" s="132" t="s">
        <v>58</v>
      </c>
      <c r="D50" s="7" t="s">
        <v>15</v>
      </c>
      <c r="E50" s="46">
        <v>8</v>
      </c>
    </row>
    <row r="51" spans="2:5" outlineLevel="1" x14ac:dyDescent="0.25">
      <c r="B51" s="50" t="str">
        <f t="shared" si="0"/>
        <v>BCO9 (CAIXABANK)-d</v>
      </c>
      <c r="C51" s="6" t="s">
        <v>59</v>
      </c>
      <c r="D51" s="43" t="s">
        <v>12</v>
      </c>
      <c r="E51" s="45">
        <v>0.09</v>
      </c>
    </row>
    <row r="52" spans="2:5" outlineLevel="1" x14ac:dyDescent="0.25">
      <c r="B52" s="50" t="str">
        <f t="shared" si="0"/>
        <v>BCO9 (CAIXABANK)-dna</v>
      </c>
      <c r="C52" s="6" t="s">
        <v>59</v>
      </c>
      <c r="D52" s="43" t="s">
        <v>13</v>
      </c>
      <c r="E52" s="45">
        <v>0.09</v>
      </c>
    </row>
    <row r="53" spans="2:5" outlineLevel="1" x14ac:dyDescent="0.25">
      <c r="B53" s="50" t="str">
        <f t="shared" si="0"/>
        <v>BCO9 (CAIXABANK)-nd</v>
      </c>
      <c r="C53" s="6" t="s">
        <v>59</v>
      </c>
      <c r="D53" s="43" t="s">
        <v>14</v>
      </c>
      <c r="E53" s="45">
        <v>0.09</v>
      </c>
    </row>
    <row r="54" spans="2:5" ht="15.75" outlineLevel="1" thickBot="1" x14ac:dyDescent="0.3">
      <c r="B54" s="50" t="str">
        <f t="shared" si="0"/>
        <v>BCO9 (CAIXABANK)-Mínimo</v>
      </c>
      <c r="C54" s="132" t="s">
        <v>59</v>
      </c>
      <c r="D54" s="7" t="s">
        <v>15</v>
      </c>
      <c r="E54" s="46">
        <v>9</v>
      </c>
    </row>
    <row r="55" spans="2:5" outlineLevel="1" x14ac:dyDescent="0.25">
      <c r="B55" s="50" t="str">
        <f t="shared" si="0"/>
        <v>Z</v>
      </c>
      <c r="C55" s="6"/>
      <c r="D55" s="43"/>
      <c r="E55" s="45"/>
    </row>
    <row r="56" spans="2:5" outlineLevel="1" x14ac:dyDescent="0.25">
      <c r="B56" s="50" t="str">
        <f t="shared" si="0"/>
        <v>Z</v>
      </c>
      <c r="C56" s="6"/>
      <c r="D56" s="43"/>
      <c r="E56" s="45"/>
    </row>
    <row r="57" spans="2:5" outlineLevel="1" x14ac:dyDescent="0.25">
      <c r="B57" s="50" t="str">
        <f t="shared" si="0"/>
        <v>Z</v>
      </c>
      <c r="C57" s="6"/>
      <c r="D57" s="43"/>
      <c r="E57" s="45"/>
    </row>
    <row r="58" spans="2:5" ht="15.75" outlineLevel="1" thickBot="1" x14ac:dyDescent="0.3">
      <c r="B58" s="51" t="str">
        <f t="shared" si="0"/>
        <v>Z</v>
      </c>
      <c r="C58" s="6"/>
      <c r="D58" s="7"/>
      <c r="E58" s="46"/>
    </row>
    <row r="59" spans="2:5" outlineLevel="1" x14ac:dyDescent="0.25"/>
    <row r="60" spans="2:5" ht="15.75" customHeight="1" thickBot="1" x14ac:dyDescent="0.3"/>
    <row r="61" spans="2:5" ht="31.5" customHeight="1" thickBot="1" x14ac:dyDescent="0.3">
      <c r="B61" s="66" t="s">
        <v>38</v>
      </c>
      <c r="C61" s="59"/>
      <c r="D61" s="59"/>
      <c r="E61" s="60"/>
    </row>
    <row r="62" spans="2:5" ht="15.75" outlineLevel="1" thickBot="1" x14ac:dyDescent="0.3">
      <c r="B62" s="112" t="s">
        <v>10</v>
      </c>
      <c r="C62" s="113" t="s">
        <v>34</v>
      </c>
      <c r="D62" s="114" t="s">
        <v>1</v>
      </c>
      <c r="E62" s="115" t="s">
        <v>16</v>
      </c>
    </row>
    <row r="63" spans="2:5" outlineLevel="1" x14ac:dyDescent="0.25">
      <c r="B63" s="49" t="str">
        <f t="shared" ref="B63:B77" si="1">IF(C63="","Z",CONCATENATE(C63,"-",REPT("0",3-LEN(D63)),D63))</f>
        <v>BCO1 (CAIXA POPULAR)-000</v>
      </c>
      <c r="C63" s="6" t="s">
        <v>51</v>
      </c>
      <c r="D63" s="98">
        <v>0</v>
      </c>
      <c r="E63" s="44">
        <v>0.01</v>
      </c>
    </row>
    <row r="64" spans="2:5" outlineLevel="1" x14ac:dyDescent="0.25">
      <c r="B64" s="50" t="str">
        <f t="shared" si="1"/>
        <v>BCO1 (CAIXA POPULAR)-061</v>
      </c>
      <c r="C64" s="6" t="s">
        <v>51</v>
      </c>
      <c r="D64" s="98">
        <v>61</v>
      </c>
      <c r="E64" s="44">
        <v>0.01</v>
      </c>
    </row>
    <row r="65" spans="2:5" outlineLevel="1" x14ac:dyDescent="0.25">
      <c r="B65" s="50" t="str">
        <f t="shared" si="1"/>
        <v>BCO1 (CAIXA POPULAR)-091</v>
      </c>
      <c r="C65" s="6" t="s">
        <v>51</v>
      </c>
      <c r="D65" s="98">
        <v>91</v>
      </c>
      <c r="E65" s="44">
        <v>0.01</v>
      </c>
    </row>
    <row r="66" spans="2:5" outlineLevel="1" x14ac:dyDescent="0.25">
      <c r="B66" s="50" t="str">
        <f t="shared" si="1"/>
        <v>BCO1 (CAIXA POPULAR)-121</v>
      </c>
      <c r="C66" s="6" t="s">
        <v>51</v>
      </c>
      <c r="D66" s="98">
        <v>121</v>
      </c>
      <c r="E66" s="44">
        <v>0.01</v>
      </c>
    </row>
    <row r="67" spans="2:5" ht="15.75" outlineLevel="1" thickBot="1" x14ac:dyDescent="0.3">
      <c r="B67" s="50" t="str">
        <f t="shared" si="1"/>
        <v>BCO1 (CAIXA POPULAR)-151</v>
      </c>
      <c r="C67" s="6" t="s">
        <v>51</v>
      </c>
      <c r="D67" s="98">
        <v>151</v>
      </c>
      <c r="E67" s="44">
        <v>0.01</v>
      </c>
    </row>
    <row r="68" spans="2:5" outlineLevel="1" x14ac:dyDescent="0.25">
      <c r="B68" s="50" t="str">
        <f t="shared" si="1"/>
        <v>BCO2 (POPULAR)-000</v>
      </c>
      <c r="C68" s="55" t="s">
        <v>52</v>
      </c>
      <c r="D68" s="99">
        <v>0</v>
      </c>
      <c r="E68" s="52">
        <v>0.02</v>
      </c>
    </row>
    <row r="69" spans="2:5" outlineLevel="1" x14ac:dyDescent="0.25">
      <c r="B69" s="50" t="str">
        <f t="shared" si="1"/>
        <v>BCO2 (POPULAR)-061</v>
      </c>
      <c r="C69" s="6" t="s">
        <v>52</v>
      </c>
      <c r="D69" s="100">
        <v>61</v>
      </c>
      <c r="E69" s="53">
        <v>0.02</v>
      </c>
    </row>
    <row r="70" spans="2:5" outlineLevel="1" x14ac:dyDescent="0.25">
      <c r="B70" s="50" t="str">
        <f t="shared" si="1"/>
        <v>BCO2 (POPULAR)-091</v>
      </c>
      <c r="C70" s="6" t="s">
        <v>52</v>
      </c>
      <c r="D70" s="100">
        <v>91</v>
      </c>
      <c r="E70" s="53">
        <v>0.02</v>
      </c>
    </row>
    <row r="71" spans="2:5" outlineLevel="1" x14ac:dyDescent="0.25">
      <c r="B71" s="50" t="str">
        <f t="shared" si="1"/>
        <v>BCO2 (POPULAR)-121</v>
      </c>
      <c r="C71" s="6" t="s">
        <v>52</v>
      </c>
      <c r="D71" s="100">
        <v>121</v>
      </c>
      <c r="E71" s="53">
        <v>0.02</v>
      </c>
    </row>
    <row r="72" spans="2:5" ht="15.75" outlineLevel="1" thickBot="1" x14ac:dyDescent="0.3">
      <c r="B72" s="50" t="str">
        <f t="shared" si="1"/>
        <v>BCO2 (POPULAR)-151</v>
      </c>
      <c r="C72" s="56" t="s">
        <v>52</v>
      </c>
      <c r="D72" s="101">
        <v>151</v>
      </c>
      <c r="E72" s="54">
        <v>0.02</v>
      </c>
    </row>
    <row r="73" spans="2:5" outlineLevel="1" x14ac:dyDescent="0.25">
      <c r="B73" s="50" t="str">
        <f t="shared" si="1"/>
        <v>BCO3 (BANKINTER)-000</v>
      </c>
      <c r="C73" s="55" t="s">
        <v>53</v>
      </c>
      <c r="D73" s="99" t="s">
        <v>43</v>
      </c>
      <c r="E73" s="52">
        <v>0.03</v>
      </c>
    </row>
    <row r="74" spans="2:5" outlineLevel="1" x14ac:dyDescent="0.25">
      <c r="B74" s="50" t="str">
        <f t="shared" si="1"/>
        <v>BCO3 (BANKINTER)-061</v>
      </c>
      <c r="C74" s="6" t="s">
        <v>53</v>
      </c>
      <c r="D74" s="100" t="s">
        <v>44</v>
      </c>
      <c r="E74" s="53">
        <v>0.03</v>
      </c>
    </row>
    <row r="75" spans="2:5" outlineLevel="1" x14ac:dyDescent="0.25">
      <c r="B75" s="50" t="str">
        <f t="shared" si="1"/>
        <v>BCO3 (BANKINTER)-091</v>
      </c>
      <c r="C75" s="6" t="s">
        <v>53</v>
      </c>
      <c r="D75" s="100" t="s">
        <v>45</v>
      </c>
      <c r="E75" s="53">
        <v>0.03</v>
      </c>
    </row>
    <row r="76" spans="2:5" outlineLevel="1" x14ac:dyDescent="0.25">
      <c r="B76" s="50" t="str">
        <f t="shared" si="1"/>
        <v>BCO3 (BANKINTER)-121</v>
      </c>
      <c r="C76" s="6" t="s">
        <v>53</v>
      </c>
      <c r="D76" s="100" t="s">
        <v>46</v>
      </c>
      <c r="E76" s="53">
        <v>0.03</v>
      </c>
    </row>
    <row r="77" spans="2:5" ht="15.75" outlineLevel="1" thickBot="1" x14ac:dyDescent="0.3">
      <c r="B77" s="50" t="str">
        <f t="shared" si="1"/>
        <v>BCO3 (BANKINTER)-151</v>
      </c>
      <c r="C77" s="56" t="s">
        <v>53</v>
      </c>
      <c r="D77" s="101" t="s">
        <v>47</v>
      </c>
      <c r="E77" s="54">
        <v>0.03</v>
      </c>
    </row>
    <row r="78" spans="2:5" outlineLevel="1" x14ac:dyDescent="0.25">
      <c r="B78" s="50" t="str">
        <f t="shared" ref="B78:B102" si="2">IF(C78="","Z",CONCATENATE(C78,"-",REPT("0",3-LEN(D78)),D78))</f>
        <v>BCO4 (SABADELL)-000</v>
      </c>
      <c r="C78" s="6" t="s">
        <v>54</v>
      </c>
      <c r="D78" s="100" t="s">
        <v>43</v>
      </c>
      <c r="E78" s="1">
        <v>0.04</v>
      </c>
    </row>
    <row r="79" spans="2:5" outlineLevel="1" x14ac:dyDescent="0.25">
      <c r="B79" s="50" t="str">
        <f t="shared" si="2"/>
        <v>BCO4 (SABADELL)-061</v>
      </c>
      <c r="C79" s="6" t="s">
        <v>54</v>
      </c>
      <c r="D79" s="100" t="s">
        <v>44</v>
      </c>
      <c r="E79" s="1">
        <v>0.04</v>
      </c>
    </row>
    <row r="80" spans="2:5" outlineLevel="1" x14ac:dyDescent="0.25">
      <c r="B80" s="50" t="str">
        <f t="shared" si="2"/>
        <v>BCO4 (SABADELL)-091</v>
      </c>
      <c r="C80" s="6" t="s">
        <v>54</v>
      </c>
      <c r="D80" s="100" t="s">
        <v>45</v>
      </c>
      <c r="E80" s="1">
        <v>0.04</v>
      </c>
    </row>
    <row r="81" spans="2:5" outlineLevel="1" x14ac:dyDescent="0.25">
      <c r="B81" s="50" t="str">
        <f t="shared" si="2"/>
        <v>BCO4 (SABADELL)-121</v>
      </c>
      <c r="C81" s="6" t="s">
        <v>54</v>
      </c>
      <c r="D81" s="100" t="s">
        <v>46</v>
      </c>
      <c r="E81" s="1">
        <v>0.04</v>
      </c>
    </row>
    <row r="82" spans="2:5" ht="15.75" outlineLevel="1" thickBot="1" x14ac:dyDescent="0.3">
      <c r="B82" s="50" t="str">
        <f t="shared" si="2"/>
        <v>BCO4 (SABADELL)-151</v>
      </c>
      <c r="C82" s="126" t="s">
        <v>54</v>
      </c>
      <c r="D82" s="102" t="s">
        <v>47</v>
      </c>
      <c r="E82" s="2">
        <v>0.04</v>
      </c>
    </row>
    <row r="83" spans="2:5" outlineLevel="1" x14ac:dyDescent="0.25">
      <c r="B83" s="50" t="str">
        <f t="shared" si="2"/>
        <v>BCO5 (SANTANDER)-000</v>
      </c>
      <c r="C83" s="6" t="s">
        <v>55</v>
      </c>
      <c r="D83" s="100" t="s">
        <v>43</v>
      </c>
      <c r="E83" s="1">
        <v>0.05</v>
      </c>
    </row>
    <row r="84" spans="2:5" outlineLevel="1" x14ac:dyDescent="0.25">
      <c r="B84" s="50" t="str">
        <f t="shared" si="2"/>
        <v>BCO5 (SANTANDER)-061</v>
      </c>
      <c r="C84" s="6" t="s">
        <v>55</v>
      </c>
      <c r="D84" s="100" t="s">
        <v>44</v>
      </c>
      <c r="E84" s="1">
        <v>0.05</v>
      </c>
    </row>
    <row r="85" spans="2:5" outlineLevel="1" x14ac:dyDescent="0.25">
      <c r="B85" s="50" t="str">
        <f t="shared" si="2"/>
        <v>BCO5 (SANTANDER)-091</v>
      </c>
      <c r="C85" s="6" t="s">
        <v>55</v>
      </c>
      <c r="D85" s="100" t="s">
        <v>45</v>
      </c>
      <c r="E85" s="1">
        <v>0.05</v>
      </c>
    </row>
    <row r="86" spans="2:5" outlineLevel="1" x14ac:dyDescent="0.25">
      <c r="B86" s="50" t="str">
        <f t="shared" si="2"/>
        <v>BCO5 (SANTANDER)-121</v>
      </c>
      <c r="C86" s="6" t="s">
        <v>55</v>
      </c>
      <c r="D86" s="100" t="s">
        <v>46</v>
      </c>
      <c r="E86" s="1">
        <v>0.05</v>
      </c>
    </row>
    <row r="87" spans="2:5" ht="15.75" outlineLevel="1" thickBot="1" x14ac:dyDescent="0.3">
      <c r="B87" s="50" t="str">
        <f t="shared" si="2"/>
        <v>BCO5 (SANTANDER)-151</v>
      </c>
      <c r="C87" s="48" t="s">
        <v>55</v>
      </c>
      <c r="D87" s="102" t="s">
        <v>47</v>
      </c>
      <c r="E87" s="2">
        <v>0.05</v>
      </c>
    </row>
    <row r="88" spans="2:5" outlineLevel="1" x14ac:dyDescent="0.25">
      <c r="B88" s="50" t="str">
        <f t="shared" si="2"/>
        <v>BCO6 (BBVA)-000</v>
      </c>
      <c r="C88" s="6" t="s">
        <v>56</v>
      </c>
      <c r="D88" s="100" t="s">
        <v>43</v>
      </c>
      <c r="E88" s="1">
        <v>0.06</v>
      </c>
    </row>
    <row r="89" spans="2:5" outlineLevel="1" x14ac:dyDescent="0.25">
      <c r="B89" s="50" t="str">
        <f t="shared" si="2"/>
        <v>BCO6 (BBVA)-061</v>
      </c>
      <c r="C89" s="6" t="s">
        <v>56</v>
      </c>
      <c r="D89" s="100" t="s">
        <v>44</v>
      </c>
      <c r="E89" s="1">
        <v>0.06</v>
      </c>
    </row>
    <row r="90" spans="2:5" outlineLevel="1" x14ac:dyDescent="0.25">
      <c r="B90" s="50" t="str">
        <f t="shared" si="2"/>
        <v>BCO6 (BBVA)-091</v>
      </c>
      <c r="C90" s="6" t="s">
        <v>56</v>
      </c>
      <c r="D90" s="100" t="s">
        <v>45</v>
      </c>
      <c r="E90" s="1">
        <v>0.06</v>
      </c>
    </row>
    <row r="91" spans="2:5" outlineLevel="1" x14ac:dyDescent="0.25">
      <c r="B91" s="50" t="str">
        <f t="shared" si="2"/>
        <v>BCO6 (BBVA)-121</v>
      </c>
      <c r="C91" s="131" t="s">
        <v>56</v>
      </c>
      <c r="D91" s="100" t="s">
        <v>46</v>
      </c>
      <c r="E91" s="1">
        <v>0.06</v>
      </c>
    </row>
    <row r="92" spans="2:5" ht="15.75" outlineLevel="1" thickBot="1" x14ac:dyDescent="0.3">
      <c r="B92" s="50" t="str">
        <f t="shared" si="2"/>
        <v>BCO6 (BBVA)-151</v>
      </c>
      <c r="C92" s="132" t="s">
        <v>56</v>
      </c>
      <c r="D92" s="102" t="s">
        <v>47</v>
      </c>
      <c r="E92" s="2">
        <v>0.06</v>
      </c>
    </row>
    <row r="93" spans="2:5" outlineLevel="1" x14ac:dyDescent="0.25">
      <c r="B93" s="50" t="str">
        <f t="shared" si="2"/>
        <v>BCO7 (IBERCAJA)-000</v>
      </c>
      <c r="C93" s="6" t="s">
        <v>57</v>
      </c>
      <c r="D93" s="100" t="s">
        <v>43</v>
      </c>
      <c r="E93" s="1">
        <v>7.0000000000000007E-2</v>
      </c>
    </row>
    <row r="94" spans="2:5" outlineLevel="1" x14ac:dyDescent="0.25">
      <c r="B94" s="50" t="str">
        <f t="shared" si="2"/>
        <v>BCO7 (IBERCAJA)-061</v>
      </c>
      <c r="C94" s="6" t="s">
        <v>57</v>
      </c>
      <c r="D94" s="100" t="s">
        <v>44</v>
      </c>
      <c r="E94" s="1">
        <v>7.0000000000000007E-2</v>
      </c>
    </row>
    <row r="95" spans="2:5" outlineLevel="1" x14ac:dyDescent="0.25">
      <c r="B95" s="50" t="str">
        <f t="shared" si="2"/>
        <v>BCO7 (IBERCAJA)-091</v>
      </c>
      <c r="C95" s="6" t="s">
        <v>57</v>
      </c>
      <c r="D95" s="100" t="s">
        <v>45</v>
      </c>
      <c r="E95" s="1">
        <v>7.0000000000000007E-2</v>
      </c>
    </row>
    <row r="96" spans="2:5" outlineLevel="1" x14ac:dyDescent="0.25">
      <c r="B96" s="50" t="str">
        <f t="shared" si="2"/>
        <v>BCO7 (IBERCAJA)-121</v>
      </c>
      <c r="C96" s="6" t="s">
        <v>57</v>
      </c>
      <c r="D96" s="100" t="s">
        <v>46</v>
      </c>
      <c r="E96" s="1">
        <v>7.0000000000000007E-2</v>
      </c>
    </row>
    <row r="97" spans="2:5" ht="15.75" outlineLevel="1" thickBot="1" x14ac:dyDescent="0.3">
      <c r="B97" s="50" t="str">
        <f t="shared" si="2"/>
        <v>BCO7 (IBERCAJA)-151</v>
      </c>
      <c r="C97" s="132" t="s">
        <v>57</v>
      </c>
      <c r="D97" s="102" t="s">
        <v>47</v>
      </c>
      <c r="E97" s="2">
        <v>7.0000000000000007E-2</v>
      </c>
    </row>
    <row r="98" spans="2:5" outlineLevel="1" x14ac:dyDescent="0.25">
      <c r="B98" s="50" t="str">
        <f t="shared" si="2"/>
        <v>BCO8 (MARCH)-000</v>
      </c>
      <c r="C98" s="6" t="s">
        <v>58</v>
      </c>
      <c r="D98" s="100" t="s">
        <v>43</v>
      </c>
      <c r="E98" s="1">
        <v>0.08</v>
      </c>
    </row>
    <row r="99" spans="2:5" outlineLevel="1" x14ac:dyDescent="0.25">
      <c r="B99" s="50" t="str">
        <f t="shared" si="2"/>
        <v>BCO8 (MARCH)-061</v>
      </c>
      <c r="C99" s="6" t="s">
        <v>58</v>
      </c>
      <c r="D99" s="100" t="s">
        <v>44</v>
      </c>
      <c r="E99" s="1">
        <v>0.08</v>
      </c>
    </row>
    <row r="100" spans="2:5" outlineLevel="1" x14ac:dyDescent="0.25">
      <c r="B100" s="50" t="str">
        <f t="shared" si="2"/>
        <v>BCO8 (MARCH)-091</v>
      </c>
      <c r="C100" s="6" t="s">
        <v>58</v>
      </c>
      <c r="D100" s="100" t="s">
        <v>45</v>
      </c>
      <c r="E100" s="1">
        <v>0.08</v>
      </c>
    </row>
    <row r="101" spans="2:5" outlineLevel="1" x14ac:dyDescent="0.25">
      <c r="B101" s="50" t="str">
        <f t="shared" si="2"/>
        <v>BCO8 (MARCH)-121</v>
      </c>
      <c r="C101" s="6" t="s">
        <v>58</v>
      </c>
      <c r="D101" s="100" t="s">
        <v>46</v>
      </c>
      <c r="E101" s="1">
        <v>0.08</v>
      </c>
    </row>
    <row r="102" spans="2:5" ht="15.75" outlineLevel="1" thickBot="1" x14ac:dyDescent="0.3">
      <c r="B102" s="50" t="str">
        <f t="shared" si="2"/>
        <v>BCO8 (MARCH)-151</v>
      </c>
      <c r="C102" s="132" t="s">
        <v>58</v>
      </c>
      <c r="D102" s="102" t="s">
        <v>47</v>
      </c>
      <c r="E102" s="2">
        <v>0.08</v>
      </c>
    </row>
    <row r="103" spans="2:5" outlineLevel="1" x14ac:dyDescent="0.25">
      <c r="B103" s="50" t="str">
        <f>IF(C103="","Z",CONCATENATE(C103,"-",REPT("0",3-LEN(D103)),D103))</f>
        <v>BCO9 (CAIXABANK)-000</v>
      </c>
      <c r="C103" s="6" t="s">
        <v>59</v>
      </c>
      <c r="D103" s="100" t="s">
        <v>43</v>
      </c>
      <c r="E103" s="1">
        <v>0.09</v>
      </c>
    </row>
    <row r="104" spans="2:5" outlineLevel="1" x14ac:dyDescent="0.25">
      <c r="B104" s="50" t="str">
        <f>IF(C104="","Z",CONCATENATE(C104,"-",REPT("0",3-LEN(D104)),D104))</f>
        <v>BCO9 (CAIXABANK)-061</v>
      </c>
      <c r="C104" s="6" t="s">
        <v>59</v>
      </c>
      <c r="D104" s="100" t="s">
        <v>44</v>
      </c>
      <c r="E104" s="1">
        <v>0.09</v>
      </c>
    </row>
    <row r="105" spans="2:5" outlineLevel="1" x14ac:dyDescent="0.25">
      <c r="B105" s="50" t="str">
        <f>IF(C105="","Z",CONCATENATE(C105,"-",REPT("0",3-LEN(D105)),D105))</f>
        <v>BCO9 (CAIXABANK)-091</v>
      </c>
      <c r="C105" s="6" t="s">
        <v>59</v>
      </c>
      <c r="D105" s="100" t="s">
        <v>45</v>
      </c>
      <c r="E105" s="1">
        <v>0.09</v>
      </c>
    </row>
    <row r="106" spans="2:5" outlineLevel="1" x14ac:dyDescent="0.25">
      <c r="B106" s="50" t="str">
        <f>IF(C106="","Z",CONCATENATE(C106,"-",REPT("0",3-LEN(D106)),D106))</f>
        <v>BCO9 (CAIXABANK)-121</v>
      </c>
      <c r="C106" s="6" t="s">
        <v>59</v>
      </c>
      <c r="D106" s="100" t="s">
        <v>46</v>
      </c>
      <c r="E106" s="1">
        <v>0.09</v>
      </c>
    </row>
    <row r="107" spans="2:5" ht="15.75" outlineLevel="1" thickBot="1" x14ac:dyDescent="0.3">
      <c r="B107" s="50" t="str">
        <f t="shared" ref="B107:B112" si="3">IF(C107="","Z",CONCATENATE(C107,"-",REPT("0",3-LEN(D107)),D107))</f>
        <v>BCO9 (CAIXABANK)-151</v>
      </c>
      <c r="C107" s="48" t="s">
        <v>59</v>
      </c>
      <c r="D107" s="102" t="s">
        <v>47</v>
      </c>
      <c r="E107" s="2">
        <v>0.09</v>
      </c>
    </row>
    <row r="108" spans="2:5" outlineLevel="1" x14ac:dyDescent="0.25">
      <c r="B108" s="50" t="str">
        <f t="shared" si="3"/>
        <v>Z</v>
      </c>
      <c r="C108" s="6"/>
      <c r="D108" s="100"/>
      <c r="E108" s="1"/>
    </row>
    <row r="109" spans="2:5" outlineLevel="1" x14ac:dyDescent="0.25">
      <c r="B109" s="50" t="str">
        <f t="shared" si="3"/>
        <v>Z</v>
      </c>
      <c r="C109" s="6"/>
      <c r="D109" s="100"/>
      <c r="E109" s="1"/>
    </row>
    <row r="110" spans="2:5" outlineLevel="1" x14ac:dyDescent="0.25">
      <c r="B110" s="50" t="str">
        <f t="shared" si="3"/>
        <v>Z</v>
      </c>
      <c r="C110" s="6"/>
      <c r="D110" s="100"/>
      <c r="E110" s="1"/>
    </row>
    <row r="111" spans="2:5" outlineLevel="1" x14ac:dyDescent="0.25">
      <c r="B111" s="50" t="str">
        <f t="shared" si="3"/>
        <v>Z</v>
      </c>
      <c r="C111" s="6"/>
      <c r="D111" s="100"/>
      <c r="E111" s="1"/>
    </row>
    <row r="112" spans="2:5" ht="15.75" outlineLevel="1" thickBot="1" x14ac:dyDescent="0.3">
      <c r="B112" s="51" t="str">
        <f t="shared" si="3"/>
        <v>Z</v>
      </c>
      <c r="C112" s="6"/>
      <c r="D112" s="102"/>
      <c r="E112" s="2"/>
    </row>
    <row r="113" spans="2:5" outlineLevel="1" x14ac:dyDescent="0.25"/>
    <row r="114" spans="2:5" ht="15" customHeight="1" thickBot="1" x14ac:dyDescent="0.3"/>
    <row r="115" spans="2:5" ht="31.5" customHeight="1" thickBot="1" x14ac:dyDescent="0.3">
      <c r="B115" s="66" t="s">
        <v>3</v>
      </c>
      <c r="C115" s="59"/>
      <c r="D115" s="59"/>
      <c r="E115" s="60"/>
    </row>
    <row r="116" spans="2:5" ht="15.75" outlineLevel="1" thickBot="1" x14ac:dyDescent="0.3">
      <c r="B116" s="112" t="s">
        <v>10</v>
      </c>
      <c r="C116" s="116" t="s">
        <v>34</v>
      </c>
      <c r="D116" s="40" t="s">
        <v>17</v>
      </c>
    </row>
    <row r="117" spans="2:5" ht="15.75" outlineLevel="1" thickBot="1" x14ac:dyDescent="0.3">
      <c r="B117" s="49" t="str">
        <f>IF(C117="","Z",CONCATENATE(C117))</f>
        <v>BCO1 (CAIXA POPULAR)</v>
      </c>
      <c r="C117" s="61" t="s">
        <v>51</v>
      </c>
      <c r="D117" s="61">
        <v>1</v>
      </c>
    </row>
    <row r="118" spans="2:5" ht="15.75" outlineLevel="1" thickBot="1" x14ac:dyDescent="0.3">
      <c r="B118" s="50" t="str">
        <f t="shared" ref="B118:B126" si="4">IF(C118="","Z",CONCATENATE(C118))</f>
        <v>BCO2 (POPULAR)</v>
      </c>
      <c r="C118" s="62" t="s">
        <v>52</v>
      </c>
      <c r="D118" s="117">
        <v>2</v>
      </c>
    </row>
    <row r="119" spans="2:5" ht="15.75" outlineLevel="1" thickBot="1" x14ac:dyDescent="0.3">
      <c r="B119" s="50" t="str">
        <f t="shared" si="4"/>
        <v>BCO3 (BANKINTER)</v>
      </c>
      <c r="C119" s="62" t="s">
        <v>53</v>
      </c>
      <c r="D119" s="117">
        <v>3</v>
      </c>
    </row>
    <row r="120" spans="2:5" ht="15.75" outlineLevel="1" thickBot="1" x14ac:dyDescent="0.3">
      <c r="B120" s="50" t="str">
        <f t="shared" si="4"/>
        <v>BCO4 (SABADELL)</v>
      </c>
      <c r="C120" s="62" t="s">
        <v>54</v>
      </c>
      <c r="D120" s="117">
        <v>4</v>
      </c>
    </row>
    <row r="121" spans="2:5" ht="15.75" outlineLevel="1" thickBot="1" x14ac:dyDescent="0.3">
      <c r="B121" s="50" t="str">
        <f t="shared" si="4"/>
        <v>BCO5 (SANTANDER)</v>
      </c>
      <c r="C121" s="130" t="s">
        <v>55</v>
      </c>
      <c r="D121" s="117">
        <v>5</v>
      </c>
    </row>
    <row r="122" spans="2:5" ht="15.75" outlineLevel="1" thickBot="1" x14ac:dyDescent="0.3">
      <c r="B122" s="50" t="str">
        <f t="shared" si="4"/>
        <v>BCO6 (BBVA)</v>
      </c>
      <c r="C122" s="130" t="s">
        <v>56</v>
      </c>
      <c r="D122" s="117">
        <v>6</v>
      </c>
    </row>
    <row r="123" spans="2:5" ht="15.75" outlineLevel="1" thickBot="1" x14ac:dyDescent="0.3">
      <c r="B123" s="50" t="str">
        <f t="shared" si="4"/>
        <v>BCO7 (IBERCAJA)</v>
      </c>
      <c r="C123" s="130" t="s">
        <v>57</v>
      </c>
      <c r="D123" s="117">
        <v>7</v>
      </c>
    </row>
    <row r="124" spans="2:5" ht="15.75" outlineLevel="1" thickBot="1" x14ac:dyDescent="0.3">
      <c r="B124" s="50" t="str">
        <f t="shared" si="4"/>
        <v>BCO8 (MARCH)</v>
      </c>
      <c r="C124" s="130" t="s">
        <v>58</v>
      </c>
      <c r="D124" s="117">
        <v>8</v>
      </c>
    </row>
    <row r="125" spans="2:5" ht="15.75" outlineLevel="1" thickBot="1" x14ac:dyDescent="0.3">
      <c r="B125" s="50" t="str">
        <f t="shared" si="4"/>
        <v>BCO9 (CAIXABANK)</v>
      </c>
      <c r="C125" s="130" t="s">
        <v>59</v>
      </c>
      <c r="D125" s="117">
        <v>9</v>
      </c>
    </row>
    <row r="126" spans="2:5" ht="15.75" outlineLevel="1" thickBot="1" x14ac:dyDescent="0.3">
      <c r="B126" s="51" t="str">
        <f t="shared" si="4"/>
        <v>Z</v>
      </c>
      <c r="C126" s="62"/>
      <c r="D126" s="117"/>
    </row>
    <row r="127" spans="2:5" outlineLevel="1" x14ac:dyDescent="0.25"/>
    <row r="128" spans="2:5" ht="17.25" customHeight="1" x14ac:dyDescent="0.25"/>
  </sheetData>
  <sheetProtection algorithmName="SHA-512" hashValue="YqR+gLSNonqcB1dNAd2UrKGDnl6suW1I9HUOH3Upjsw35LY0vyQ47gASEr6udizgN+MmOu7QkM+Nvksufm0UWA==" saltValue="HUjeSzmBS+NX8aG5h2WE6A==" spinCount="100000" sheet="1" objects="1" scenarios="1"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B1:C20"/>
  <sheetViews>
    <sheetView showGridLines="0" zoomScale="115" zoomScaleNormal="115" workbookViewId="0">
      <selection activeCell="F6" sqref="F6"/>
    </sheetView>
  </sheetViews>
  <sheetFormatPr baseColWidth="10" defaultRowHeight="15" x14ac:dyDescent="0.25"/>
  <cols>
    <col min="1" max="1" width="3.7109375" style="3" customWidth="1"/>
    <col min="2" max="2" width="19.5703125" style="3" customWidth="1"/>
    <col min="3" max="3" width="15.7109375" style="3" customWidth="1"/>
    <col min="4" max="16384" width="11.42578125" style="3"/>
  </cols>
  <sheetData>
    <row r="1" spans="2:3" ht="12" customHeight="1" thickBot="1" x14ac:dyDescent="0.3"/>
    <row r="2" spans="2:3" ht="34.5" thickBot="1" x14ac:dyDescent="0.3">
      <c r="B2" s="94" t="s">
        <v>33</v>
      </c>
      <c r="C2" s="58"/>
    </row>
    <row r="3" spans="2:3" ht="11.25" customHeight="1" thickBot="1" x14ac:dyDescent="0.3"/>
    <row r="4" spans="2:3" ht="19.5" customHeight="1" thickBot="1" x14ac:dyDescent="0.3">
      <c r="B4" s="74" t="s">
        <v>39</v>
      </c>
      <c r="C4" s="75"/>
    </row>
    <row r="5" spans="2:3" ht="15.75" thickBot="1" x14ac:dyDescent="0.3">
      <c r="B5" s="41" t="s">
        <v>5</v>
      </c>
      <c r="C5" s="42" t="s">
        <v>7</v>
      </c>
    </row>
    <row r="6" spans="2:3" x14ac:dyDescent="0.25">
      <c r="B6" s="68">
        <v>0</v>
      </c>
      <c r="C6" s="69">
        <v>0.06</v>
      </c>
    </row>
    <row r="7" spans="2:3" x14ac:dyDescent="0.25">
      <c r="B7" s="70">
        <v>24.05</v>
      </c>
      <c r="C7" s="71">
        <v>0.12</v>
      </c>
    </row>
    <row r="8" spans="2:3" x14ac:dyDescent="0.25">
      <c r="B8" s="70">
        <v>48.09</v>
      </c>
      <c r="C8" s="71">
        <v>0.24</v>
      </c>
    </row>
    <row r="9" spans="2:3" x14ac:dyDescent="0.25">
      <c r="B9" s="70">
        <v>90.16</v>
      </c>
      <c r="C9" s="71">
        <v>0.48</v>
      </c>
    </row>
    <row r="10" spans="2:3" x14ac:dyDescent="0.25">
      <c r="B10" s="70">
        <v>180.31</v>
      </c>
      <c r="C10" s="71">
        <v>0.96</v>
      </c>
    </row>
    <row r="11" spans="2:3" x14ac:dyDescent="0.25">
      <c r="B11" s="70">
        <v>360.62</v>
      </c>
      <c r="C11" s="71">
        <v>1.98</v>
      </c>
    </row>
    <row r="12" spans="2:3" x14ac:dyDescent="0.25">
      <c r="B12" s="70">
        <v>751.28</v>
      </c>
      <c r="C12" s="71">
        <v>4.21</v>
      </c>
    </row>
    <row r="13" spans="2:3" x14ac:dyDescent="0.25">
      <c r="B13" s="70">
        <v>1502.54</v>
      </c>
      <c r="C13" s="71">
        <v>8.41</v>
      </c>
    </row>
    <row r="14" spans="2:3" x14ac:dyDescent="0.25">
      <c r="B14" s="70">
        <v>3005.07</v>
      </c>
      <c r="C14" s="71">
        <v>16.829999999999998</v>
      </c>
    </row>
    <row r="15" spans="2:3" x14ac:dyDescent="0.25">
      <c r="B15" s="70">
        <v>6010.13</v>
      </c>
      <c r="C15" s="71">
        <v>33.659999999999997</v>
      </c>
    </row>
    <row r="16" spans="2:3" x14ac:dyDescent="0.25">
      <c r="B16" s="70">
        <v>12020.25</v>
      </c>
      <c r="C16" s="71">
        <v>67.31</v>
      </c>
    </row>
    <row r="17" spans="2:3" x14ac:dyDescent="0.25">
      <c r="B17" s="70">
        <v>24040.49</v>
      </c>
      <c r="C17" s="71">
        <v>134.63</v>
      </c>
    </row>
    <row r="18" spans="2:3" x14ac:dyDescent="0.25">
      <c r="B18" s="70">
        <v>48080.98</v>
      </c>
      <c r="C18" s="71">
        <v>269.25</v>
      </c>
    </row>
    <row r="19" spans="2:3" x14ac:dyDescent="0.25">
      <c r="B19" s="70">
        <v>96161.95</v>
      </c>
      <c r="C19" s="71">
        <v>538.51</v>
      </c>
    </row>
    <row r="20" spans="2:3" ht="15.75" thickBot="1" x14ac:dyDescent="0.3">
      <c r="B20" s="72">
        <v>192323.88</v>
      </c>
      <c r="C20" s="73" t="s">
        <v>9</v>
      </c>
    </row>
  </sheetData>
  <sheetProtection algorithmName="SHA-512" hashValue="ukRE0v6bsCRQBfEYnHOa8AqBoRFzKx4H4qeD1c8pCCkzS/7w1N4Y915zP5YLKopbh8qhhqd63f7eiDuC8IW5vA==" saltValue="HNP87OP5gseW1+IxAmzlsw==" spinCount="100000" sheet="1" objects="1" scenarios="1"/>
  <phoneticPr fontId="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4"/>
  <sheetViews>
    <sheetView tabSelected="1" workbookViewId="0">
      <selection activeCell="J2" sqref="J2"/>
    </sheetView>
  </sheetViews>
  <sheetFormatPr baseColWidth="10" defaultRowHeight="15" x14ac:dyDescent="0.25"/>
  <cols>
    <col min="2" max="2" width="4.28515625" customWidth="1"/>
    <col min="3" max="3" width="10.5703125" customWidth="1"/>
    <col min="4" max="4" width="7.85546875" customWidth="1"/>
    <col min="5" max="5" width="32.5703125" customWidth="1"/>
    <col min="6" max="6" width="30.5703125" customWidth="1"/>
    <col min="7" max="7" width="12" customWidth="1"/>
    <col min="8" max="8" width="11.85546875" customWidth="1"/>
  </cols>
  <sheetData>
    <row r="1" spans="2:8" ht="48" customHeight="1" x14ac:dyDescent="0.25">
      <c r="B1" s="143" t="s">
        <v>77</v>
      </c>
      <c r="C1" s="143"/>
      <c r="D1" s="143"/>
      <c r="E1" s="143"/>
      <c r="F1" s="143"/>
      <c r="G1" s="143"/>
      <c r="H1" s="143"/>
    </row>
    <row r="2" spans="2:8" x14ac:dyDescent="0.25">
      <c r="B2" s="142" t="s">
        <v>66</v>
      </c>
      <c r="C2" s="142"/>
      <c r="D2" s="142"/>
      <c r="E2" s="142"/>
      <c r="F2" s="142"/>
      <c r="G2" s="142"/>
      <c r="H2" s="142"/>
    </row>
    <row r="3" spans="2:8" x14ac:dyDescent="0.25">
      <c r="B3" s="133" t="s">
        <v>25</v>
      </c>
      <c r="C3" s="133" t="s">
        <v>60</v>
      </c>
      <c r="D3" s="133" t="s">
        <v>63</v>
      </c>
      <c r="E3" s="133" t="s">
        <v>64</v>
      </c>
      <c r="F3" s="133" t="s">
        <v>65</v>
      </c>
      <c r="G3" s="133" t="s">
        <v>61</v>
      </c>
      <c r="H3" s="133" t="s">
        <v>62</v>
      </c>
    </row>
    <row r="4" spans="2:8" x14ac:dyDescent="0.25">
      <c r="B4">
        <v>1</v>
      </c>
      <c r="C4" s="134">
        <f>FN</f>
        <v>41654</v>
      </c>
      <c r="D4">
        <v>4311</v>
      </c>
      <c r="E4" t="s">
        <v>68</v>
      </c>
      <c r="F4" t="s">
        <v>70</v>
      </c>
      <c r="G4" s="135">
        <f>TOTAL_NEGOCIADO</f>
        <v>6000</v>
      </c>
    </row>
    <row r="5" spans="2:8" x14ac:dyDescent="0.25">
      <c r="B5">
        <v>1</v>
      </c>
      <c r="C5" s="134">
        <f>FN</f>
        <v>41654</v>
      </c>
      <c r="D5">
        <v>4310</v>
      </c>
      <c r="E5" t="s">
        <v>69</v>
      </c>
      <c r="F5" t="s">
        <v>70</v>
      </c>
      <c r="H5" s="136">
        <f>G4</f>
        <v>6000</v>
      </c>
    </row>
    <row r="8" spans="2:8" x14ac:dyDescent="0.25">
      <c r="B8" s="142" t="s">
        <v>67</v>
      </c>
      <c r="C8" s="142"/>
      <c r="D8" s="142"/>
      <c r="E8" s="142"/>
      <c r="F8" s="142"/>
      <c r="G8" s="142"/>
      <c r="H8" s="142"/>
    </row>
    <row r="9" spans="2:8" x14ac:dyDescent="0.25">
      <c r="B9" s="133" t="s">
        <v>25</v>
      </c>
      <c r="C9" s="133" t="s">
        <v>60</v>
      </c>
      <c r="D9" s="133" t="s">
        <v>63</v>
      </c>
      <c r="E9" s="133" t="s">
        <v>64</v>
      </c>
      <c r="F9" s="133" t="s">
        <v>65</v>
      </c>
      <c r="G9" s="133" t="s">
        <v>61</v>
      </c>
      <c r="H9" s="133" t="s">
        <v>62</v>
      </c>
    </row>
    <row r="10" spans="2:8" x14ac:dyDescent="0.25">
      <c r="B10">
        <v>2</v>
      </c>
      <c r="C10" s="134">
        <f>$C$4</f>
        <v>41654</v>
      </c>
      <c r="D10">
        <v>572</v>
      </c>
      <c r="E10" t="s">
        <v>72</v>
      </c>
      <c r="F10" t="s">
        <v>71</v>
      </c>
      <c r="G10" s="137">
        <f>'FRA. DTO. COMERCIAL'!E10</f>
        <v>5644.5255555555559</v>
      </c>
    </row>
    <row r="11" spans="2:8" x14ac:dyDescent="0.25">
      <c r="B11">
        <v>2</v>
      </c>
      <c r="C11" s="134">
        <f t="shared" ref="C11:C14" si="0">$C$4</f>
        <v>41654</v>
      </c>
      <c r="D11">
        <v>665</v>
      </c>
      <c r="E11" t="s">
        <v>73</v>
      </c>
      <c r="F11" t="s">
        <v>71</v>
      </c>
      <c r="G11" s="137">
        <f>'FRA. DTO. COMERCIAL'!H10</f>
        <v>82.444444444444443</v>
      </c>
    </row>
    <row r="12" spans="2:8" x14ac:dyDescent="0.25">
      <c r="B12">
        <v>2</v>
      </c>
      <c r="C12" s="134">
        <f t="shared" si="0"/>
        <v>41654</v>
      </c>
      <c r="D12">
        <v>626</v>
      </c>
      <c r="E12" t="s">
        <v>74</v>
      </c>
      <c r="F12" t="s">
        <v>71</v>
      </c>
      <c r="G12" s="137">
        <f>'FRA. DTO. COMERCIAL'!J10+'FRA. DTO. COMERCIAL'!K10</f>
        <v>252</v>
      </c>
    </row>
    <row r="13" spans="2:8" x14ac:dyDescent="0.25">
      <c r="B13">
        <v>2</v>
      </c>
      <c r="C13" s="134">
        <f t="shared" si="0"/>
        <v>41654</v>
      </c>
      <c r="D13">
        <v>631</v>
      </c>
      <c r="E13" t="s">
        <v>75</v>
      </c>
      <c r="F13" t="s">
        <v>71</v>
      </c>
      <c r="G13" s="137">
        <f>'FRA. DTO. COMERCIAL'!L10</f>
        <v>21.03</v>
      </c>
    </row>
    <row r="14" spans="2:8" x14ac:dyDescent="0.25">
      <c r="B14">
        <v>2</v>
      </c>
      <c r="C14" s="134">
        <f t="shared" si="0"/>
        <v>41654</v>
      </c>
      <c r="D14">
        <v>5208</v>
      </c>
      <c r="E14" t="s">
        <v>76</v>
      </c>
      <c r="F14" t="s">
        <v>71</v>
      </c>
      <c r="G14" s="138"/>
      <c r="H14" s="136">
        <f>SUM(G10:G13)</f>
        <v>6000</v>
      </c>
    </row>
  </sheetData>
  <sheetProtection algorithmName="SHA-512" hashValue="6i7HG0fZkpEk08PZRWD10n+1pYdI0AWpzbl3Fw/EJqZ5myeZx6ko2GOqRfN3C+sEWboYvuwnqHyKZ0x2FJU1QQ==" saltValue="ul4PudLwX4iXFgDRVyZt9Q==" spinCount="100000" sheet="1" objects="1" scenarios="1"/>
  <mergeCells count="3">
    <mergeCell ref="B2:H2"/>
    <mergeCell ref="B8:H8"/>
    <mergeCell ref="B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12</vt:i4>
      </vt:variant>
    </vt:vector>
  </HeadingPairs>
  <TitlesOfParts>
    <vt:vector size="16" baseType="lpstr">
      <vt:lpstr>FRA. DTO. COMERCIAL</vt:lpstr>
      <vt:lpstr>CONDICIONES BANCARIAS</vt:lpstr>
      <vt:lpstr>TIMBRES</vt:lpstr>
      <vt:lpstr>ASIENTOS CONTABLES</vt:lpstr>
      <vt:lpstr>COMISIONBANCAJA</vt:lpstr>
      <vt:lpstr>CORREOBANCAJA</vt:lpstr>
      <vt:lpstr>CORREOSANTANDER</vt:lpstr>
      <vt:lpstr>DTOBANCAJA</vt:lpstr>
      <vt:lpstr>ENTIDADES</vt:lpstr>
      <vt:lpstr>FN</vt:lpstr>
      <vt:lpstr>MínimoBancaja</vt:lpstr>
      <vt:lpstr>MínimoBbva</vt:lpstr>
      <vt:lpstr>MínimoSantander</vt:lpstr>
      <vt:lpstr>TIMBREBANCAJA</vt:lpstr>
      <vt:lpstr>TIMBRES</vt:lpstr>
      <vt:lpstr>TOTAL_NEGOCIADO</vt:lpstr>
    </vt:vector>
  </TitlesOfParts>
  <Company>fajardo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alumno curso Mada</dc:creator>
  <cp:lastModifiedBy>LUISMA</cp:lastModifiedBy>
  <cp:lastPrinted>2010-11-21T10:38:56Z</cp:lastPrinted>
  <dcterms:created xsi:type="dcterms:W3CDTF">2010-11-19T10:30:47Z</dcterms:created>
  <dcterms:modified xsi:type="dcterms:W3CDTF">2014-08-15T12:16:39Z</dcterms:modified>
</cp:coreProperties>
</file>